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055"/>
  </bookViews>
  <sheets>
    <sheet name="清单" sheetId="6" r:id="rId1"/>
    <sheet name="总" sheetId="7" state="hidden" r:id="rId2"/>
    <sheet name="建设管理费" sheetId="8" state="hidden" r:id="rId3"/>
    <sheet name="项目建议书" sheetId="9" state="hidden" r:id="rId4"/>
    <sheet name="可行性研究报告" sheetId="10" state="hidden" r:id="rId5"/>
    <sheet name="设计费" sheetId="11" state="hidden" r:id="rId6"/>
    <sheet name="监理费" sheetId="12" state="hidden" r:id="rId7"/>
    <sheet name="监理费 (新标准2)" sheetId="13" state="hidden" r:id="rId8"/>
    <sheet name="造价咨询服务费" sheetId="14" state="hidden" r:id="rId9"/>
    <sheet name="招标代理服务费" sheetId="15" state="hidden" r:id="rId10"/>
    <sheet name="环境影响咨询" sheetId="16" state="hidden" r:id="rId11"/>
    <sheet name="施工图设计审查咨询" sheetId="17" state="hidden" r:id="rId12"/>
    <sheet name="Sheet2" sheetId="18" state="hidden" r:id="rId13"/>
    <sheet name="工程保险费" sheetId="19" state="hidden" r:id="rId14"/>
    <sheet name="水土" sheetId="20" state="hidden" r:id="rId15"/>
  </sheets>
  <definedNames>
    <definedName name="_xlnm.Print_Area" localSheetId="0">清单!$A$1:$K$43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6" authorId="0">
      <text>
        <r>
          <rPr>
            <sz val="9"/>
            <rFont val="宋体"/>
            <charset val="134"/>
          </rPr>
          <t xml:space="preserve">    B7     +      (E7-A7)         ×       (B8       -      B7)      ÷      (A8      -    A7)
n收费基价  +  （建安费-n计费额）  ×  （n+1收费基价  -  n收费基价）  ÷  （n+1计费额  -  n计费额）  
n为该行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F6" authorId="0">
      <text>
        <r>
          <rPr>
            <sz val="9"/>
            <rFont val="宋体"/>
            <charset val="134"/>
          </rPr>
          <t xml:space="preserve">    B7     +      (E7-A7)         ×       (B8       -      B7)      ÷      (A8      -    A7)
n收费基价  +  （建安费-n计费额）  ×  （n+1收费基价  -  n收费基价）  ÷  （n+1计费额  -  n计费额）  
n为该行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F7" authorId="0">
      <text>
        <r>
          <rPr>
            <sz val="9"/>
            <rFont val="宋体"/>
            <charset val="134"/>
          </rPr>
          <t xml:space="preserve">    B7     +      (E7-A7)         ×       (B8       -      B7)      ÷      (A8      -    A7)
n收费基价  +  （建安费-n计费额）  ×  （n+1收费基价  -  n收费基价）  ÷  （n+1计费额  -  n计费额）  
n为该行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F7" authorId="0">
      <text>
        <r>
          <rPr>
            <sz val="9"/>
            <rFont val="宋体"/>
            <charset val="134"/>
          </rPr>
          <t xml:space="preserve">    B7     +      (E7-A7)         ×       (B8       -      B7)      ÷      (A8      -    A7)
n收费基价  +  （建安费-n计费额）  ×  （n+1收费基价  -  n收费基价）  ÷  （n+1计费额  -  n计费额）  
n为该行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F7" authorId="0">
      <text>
        <r>
          <rPr>
            <sz val="9"/>
            <rFont val="宋体"/>
            <charset val="134"/>
          </rPr>
          <t xml:space="preserve">    B7     +      (E7-A7)         ×       (B8       -      B7)      ÷      (A8      -    A7)
n收费基价  +  （建安费-n计费额）  ×  （n+1收费基价  -  n收费基价）  ÷  （n+1计费额  -  n计费额）  
n为该行</t>
        </r>
      </text>
    </comment>
  </commentList>
</comments>
</file>

<file path=xl/comments6.xml><?xml version="1.0" encoding="utf-8"?>
<comments xmlns="http://schemas.openxmlformats.org/spreadsheetml/2006/main">
  <authors>
    <author>Administrator</author>
  </authors>
  <commentList>
    <comment ref="G5" authorId="0">
      <text>
        <r>
          <rPr>
            <sz val="9"/>
            <rFont val="宋体"/>
            <charset val="134"/>
          </rPr>
          <t xml:space="preserve">    B7     +      (E7-A7)         ×       (B8       -      B7)      ÷      (A8      -    A7)
n收费基价  +  （建安费-n计费额）  ×  （n+1收费基价  -  n收费基价）  ÷  （n+1计费额  -  n计费额）  
n为该行</t>
        </r>
      </text>
    </comment>
    <comment ref="G17" authorId="0">
      <text>
        <r>
          <rPr>
            <sz val="9"/>
            <rFont val="宋体"/>
            <charset val="134"/>
          </rPr>
          <t xml:space="preserve">    B7     +      (E7-A7)         ×       (B8       -      B7)      ÷      (A8      -    A7)
n收费基价  +  （建安费-n计费额）  ×  （n+1收费基价  -  n收费基价）  ÷  （n+1计费额  -  n计费额）  
n为该行</t>
        </r>
      </text>
    </comment>
    <comment ref="G27" authorId="0">
      <text>
        <r>
          <rPr>
            <sz val="9"/>
            <rFont val="宋体"/>
            <charset val="134"/>
          </rPr>
          <t xml:space="preserve">    B7     +      (E7-A7)         ×       (B8       -      B7)      ÷      (A8      -    A7)
n收费基价  +  （建安费-n计费额）  ×  （n+1收费基价  -  n收费基价）  ÷  （n+1计费额  -  n计费额）  
n为该行</t>
        </r>
      </text>
    </comment>
  </commentList>
</comments>
</file>

<file path=xl/sharedStrings.xml><?xml version="1.0" encoding="utf-8"?>
<sst xmlns="http://schemas.openxmlformats.org/spreadsheetml/2006/main" count="443" uniqueCount="266">
  <si>
    <t>鄂城区2025年城镇老旧小区改造项目概算核定表</t>
  </si>
  <si>
    <t>工程名称：鄂城区2025年城镇老旧小区改造项目</t>
  </si>
  <si>
    <t>序号</t>
  </si>
  <si>
    <t>工程或费用名称</t>
  </si>
  <si>
    <t>概算造价（万元）</t>
  </si>
  <si>
    <t>技术经济指标</t>
  </si>
  <si>
    <t>备注</t>
  </si>
  <si>
    <t>建筑工程</t>
  </si>
  <si>
    <t>安装工程</t>
  </si>
  <si>
    <t>设备购置费</t>
  </si>
  <si>
    <t>其他费用</t>
  </si>
  <si>
    <t>合计</t>
  </si>
  <si>
    <t>单位</t>
  </si>
  <si>
    <t>工程量</t>
  </si>
  <si>
    <t>造价指标
（元/m2）</t>
  </si>
  <si>
    <t>A</t>
  </si>
  <si>
    <t>第一部分 工程费用</t>
  </si>
  <si>
    <t>老旧建筑改造修缮</t>
  </si>
  <si>
    <t>m2</t>
  </si>
  <si>
    <t>改造供水管道</t>
  </si>
  <si>
    <t>米</t>
  </si>
  <si>
    <t>改造供电管道</t>
  </si>
  <si>
    <t>改造雨污管道</t>
  </si>
  <si>
    <t>改造燃气管道</t>
  </si>
  <si>
    <t>改造通信管线</t>
  </si>
  <si>
    <t>道路修缮</t>
  </si>
  <si>
    <t>公共区域修缮</t>
  </si>
  <si>
    <t>消防改造提升</t>
  </si>
  <si>
    <t>休闲、健身设施改造提升</t>
  </si>
  <si>
    <t>绿化修复</t>
  </si>
  <si>
    <t>照明亮化</t>
  </si>
  <si>
    <t>B</t>
  </si>
  <si>
    <t>第二部分 工程建设其他费用</t>
  </si>
  <si>
    <t>建设管理费</t>
  </si>
  <si>
    <t>建设单位管理费</t>
  </si>
  <si>
    <t>财建[2016]504号</t>
  </si>
  <si>
    <t>工程建设监理费</t>
  </si>
  <si>
    <t>发改价格 (2015) 299号</t>
  </si>
  <si>
    <t>建设项目前期工作咨询费</t>
  </si>
  <si>
    <t xml:space="preserve">编制项目建议书 </t>
  </si>
  <si>
    <t>国家计委计价格[1999]1283号</t>
  </si>
  <si>
    <t>编制可行性研究报告</t>
  </si>
  <si>
    <t>第三方检测费</t>
  </si>
  <si>
    <t>工程设计费</t>
  </si>
  <si>
    <t>建设工程评价费</t>
  </si>
  <si>
    <t>环境影响评价费</t>
  </si>
  <si>
    <t>计价格[2002]125号</t>
  </si>
  <si>
    <t>劳动安全卫生评审费</t>
  </si>
  <si>
    <t>节能专篇</t>
  </si>
  <si>
    <t>工程保险费(工程费用0.3%)</t>
  </si>
  <si>
    <t>施工图设计审查费</t>
  </si>
  <si>
    <t>招标代理服务费</t>
  </si>
  <si>
    <t>工程招标</t>
  </si>
  <si>
    <t>计价格[2002]1980号</t>
  </si>
  <si>
    <t>服务招标</t>
  </si>
  <si>
    <t>工程造价咨询服务费</t>
  </si>
  <si>
    <t>工程量清单及控制价编制</t>
  </si>
  <si>
    <t>鄂建文【2023】33号</t>
  </si>
  <si>
    <t>工程结算审核</t>
  </si>
  <si>
    <t>施工阶段全过程工程造价控制</t>
  </si>
  <si>
    <t>工程决算编制或审核</t>
  </si>
  <si>
    <t>竣工环境监测费</t>
  </si>
  <si>
    <t>C</t>
  </si>
  <si>
    <t>第三部分 预备费(A+B)×5%</t>
  </si>
  <si>
    <t>D</t>
  </si>
  <si>
    <t>概算总额（A+B+C）</t>
  </si>
  <si>
    <t>概算第二类费用计取方法</t>
  </si>
  <si>
    <t>内容</t>
  </si>
  <si>
    <t>计算方法</t>
  </si>
  <si>
    <t>见后附件</t>
  </si>
  <si>
    <t>财建[2016]504 号</t>
  </si>
  <si>
    <t>建设单位临时设施费</t>
  </si>
  <si>
    <t>建筑安装工程费*（0.5%~1.0%）</t>
  </si>
  <si>
    <t>计标（85）352号</t>
  </si>
  <si>
    <t xml:space="preserve">建设项目前期工作咨询费 </t>
  </si>
  <si>
    <t>项目建议书或可行性研究报告</t>
  </si>
  <si>
    <t>发改价格[2015]299号；该部分费用实行市场调节价</t>
  </si>
  <si>
    <t>建筑工程方案论证咨询</t>
  </si>
  <si>
    <t>按建筑面积，1.2元/平方米</t>
  </si>
  <si>
    <t>鄂价房服[2002]146号</t>
  </si>
  <si>
    <t>项目交通分析</t>
  </si>
  <si>
    <t>按项目规模区域收费</t>
  </si>
  <si>
    <t>计价格[2001]1218号</t>
  </si>
  <si>
    <t>项目建议书、可行性研究报告</t>
  </si>
  <si>
    <t>编制项目建议书、编制可行性研究报告、评估项目建议书、评估可行性研究报告</t>
  </si>
  <si>
    <t>国家计委计价格[1999]1283号,该部分费用已市场化</t>
  </si>
  <si>
    <t>节估能费</t>
  </si>
  <si>
    <t>该部分费用已市场化</t>
  </si>
  <si>
    <t>水补土偿保费</t>
  </si>
  <si>
    <t>鄂价环资【2017】93号</t>
  </si>
  <si>
    <t>水土保持方案编制费</t>
  </si>
  <si>
    <t>计价格[2002]10号,该部分费用已市场化</t>
  </si>
  <si>
    <t>地质安全评估费</t>
  </si>
  <si>
    <t>(1)地下综合管探测：按管线长度收费，约0.1元/ｍ；
（2）地质灾害性评价：按项收费，4~8万元；
（3）地震安全性评价：按项收费，19~35万元；
（4）防洪评价费：按市场价格或委托合同计列</t>
  </si>
  <si>
    <t>国土资发[2004]69
号；该部分费用已市场化</t>
  </si>
  <si>
    <t>工程保险费</t>
  </si>
  <si>
    <t>民用建筑：建筑工程费的2‰~4‰；
其他建筑：建筑工程费的3‰~6‰；
安装工程：建筑工程费的3‰~6‰；</t>
  </si>
  <si>
    <t>见建设工程计价书上</t>
  </si>
  <si>
    <t>建设管理费（万元）</t>
  </si>
  <si>
    <t>财建【2016】504号</t>
  </si>
  <si>
    <t>工程总概算</t>
  </si>
  <si>
    <t>费率（%）</t>
  </si>
  <si>
    <t>算例</t>
  </si>
  <si>
    <t>项目建设管理费</t>
  </si>
  <si>
    <t>1000以下</t>
  </si>
  <si>
    <t>1000*2%</t>
  </si>
  <si>
    <t>1000~5000</t>
  </si>
  <si>
    <t>20+（5000-1000）*1.5%</t>
  </si>
  <si>
    <t>5000~10000</t>
  </si>
  <si>
    <t>80+（10000-5000）*1.2%</t>
  </si>
  <si>
    <t>10000~50000</t>
  </si>
  <si>
    <t>140+（50000-10000）*1%</t>
  </si>
  <si>
    <t>50000~100000</t>
  </si>
  <si>
    <t>540+(100000-50000)*0.8%</t>
  </si>
  <si>
    <t>100000以上</t>
  </si>
  <si>
    <t>940+(200000-100000)*0.4%</t>
  </si>
  <si>
    <t>建设单位临时设施费（万元）</t>
  </si>
  <si>
    <t>基数</t>
  </si>
  <si>
    <t>建筑安装工程费</t>
  </si>
  <si>
    <t>0.5~1.0</t>
  </si>
  <si>
    <t>建筑安装工程费*（0.5~1.0）</t>
  </si>
  <si>
    <t>项目建议书内插法（国家计委计价格【1999】1283号）</t>
  </si>
  <si>
    <t>计费额</t>
  </si>
  <si>
    <t>收费基价</t>
  </si>
  <si>
    <t>内插法基价</t>
  </si>
  <si>
    <t>范围</t>
  </si>
  <si>
    <t>建安费</t>
  </si>
  <si>
    <t>0-1000</t>
  </si>
  <si>
    <t>1000万以下</t>
  </si>
  <si>
    <t>1000-3000</t>
  </si>
  <si>
    <t>3000-10000</t>
  </si>
  <si>
    <t>10000-50000</t>
  </si>
  <si>
    <t>50000-100000</t>
  </si>
  <si>
    <t>100000-500000</t>
  </si>
  <si>
    <t>500000-1000000</t>
  </si>
  <si>
    <t>50亿以上</t>
  </si>
  <si>
    <t>可研报告内插法（国家计委计价格【1999】1283号）</t>
  </si>
  <si>
    <t>设计收费内插法</t>
  </si>
  <si>
    <t>设计费计算</t>
  </si>
  <si>
    <t>专业调整系数</t>
  </si>
  <si>
    <t>复杂程度调整系数</t>
  </si>
  <si>
    <t>附加调整系数</t>
  </si>
  <si>
    <t>设计费</t>
  </si>
  <si>
    <t>预算编制费</t>
  </si>
  <si>
    <t>0-200</t>
  </si>
  <si>
    <t>200-500</t>
  </si>
  <si>
    <t>500-1000</t>
  </si>
  <si>
    <t xml:space="preserve">      基价    ×  专业调整系数 × 复杂程度调整系数 × 附加调整系数</t>
  </si>
  <si>
    <t>设计费  × 10%</t>
  </si>
  <si>
    <t>3000-5000</t>
  </si>
  <si>
    <t>5000-8000</t>
  </si>
  <si>
    <t>设计费+预算费</t>
  </si>
  <si>
    <t>合同收费进度</t>
  </si>
  <si>
    <t>8000-10000</t>
  </si>
  <si>
    <t>10000-20000</t>
  </si>
  <si>
    <t>20000-40000</t>
  </si>
  <si>
    <t>40000-60000</t>
  </si>
  <si>
    <t>60000-80000</t>
  </si>
  <si>
    <t>80000-100000</t>
  </si>
  <si>
    <t>1000000-2000000</t>
  </si>
  <si>
    <t>2000000-4000000</t>
  </si>
  <si>
    <t>4000000-6000000</t>
  </si>
  <si>
    <t>6000000-8000000</t>
  </si>
  <si>
    <t>8000000-10000000</t>
  </si>
  <si>
    <t>10000000-20000000</t>
  </si>
  <si>
    <t>监理收费内插法</t>
  </si>
  <si>
    <t>0-500</t>
  </si>
  <si>
    <t>综合费率法</t>
  </si>
  <si>
    <t>计费额*综合费率*工程复杂程度调整系数</t>
  </si>
  <si>
    <t>费率</t>
  </si>
  <si>
    <t>收费</t>
  </si>
  <si>
    <t>500万以内</t>
  </si>
  <si>
    <t>500~1000</t>
  </si>
  <si>
    <t>1000~3000</t>
  </si>
  <si>
    <t>40000-80000</t>
  </si>
  <si>
    <t>100000-200000</t>
  </si>
  <si>
    <t>200000-400000</t>
  </si>
  <si>
    <t>400000-600000</t>
  </si>
  <si>
    <t>600000-800000</t>
  </si>
  <si>
    <t>≥10000000</t>
  </si>
  <si>
    <t>800000-1000000</t>
  </si>
  <si>
    <t>夏锐制作-湖北省建设工程造价咨询服务收费计算器</t>
  </si>
  <si>
    <t>造价咨询服务收费计算器</t>
  </si>
  <si>
    <t>收费项目</t>
  </si>
  <si>
    <t>计费基数</t>
  </si>
  <si>
    <t>收费费率（‰）</t>
  </si>
  <si>
    <t>计费基数（万元）</t>
  </si>
  <si>
    <t>咨询服务收费
（万元）</t>
  </si>
  <si>
    <t>优惠额度
（%）</t>
  </si>
  <si>
    <t>工程应收费
（万元）</t>
  </si>
  <si>
    <t>≤500</t>
  </si>
  <si>
    <t>501—3000</t>
  </si>
  <si>
    <t>3001-6000</t>
  </si>
  <si>
    <t>6001-10000</t>
  </si>
  <si>
    <t>＞10000万元</t>
  </si>
  <si>
    <t>万元</t>
  </si>
  <si>
    <t>工程设计概算编制</t>
  </si>
  <si>
    <t>项目总投资</t>
  </si>
  <si>
    <t>工程设计概算审核</t>
  </si>
  <si>
    <t>工程造价</t>
  </si>
  <si>
    <t>清单计价</t>
  </si>
  <si>
    <t>工程量清单编制或审核</t>
  </si>
  <si>
    <t>控制价（标底价）编制 （不含工程量清单编制）</t>
  </si>
  <si>
    <t>控制价（标底价）、工程量清单编制</t>
  </si>
  <si>
    <t>（1）基本收费</t>
  </si>
  <si>
    <t>送审
工程造价</t>
  </si>
  <si>
    <t>（2）追加收费</t>
  </si>
  <si>
    <t>审减（增）额</t>
  </si>
  <si>
    <t>定额计价</t>
  </si>
  <si>
    <t>工程预算、标底编制</t>
  </si>
  <si>
    <t>工程预算、结算、标底审核</t>
  </si>
  <si>
    <t xml:space="preserve">  送审
工程造价</t>
  </si>
  <si>
    <t>竣工决算编制或审核</t>
  </si>
  <si>
    <t>项目投资总额</t>
  </si>
  <si>
    <t>工程造价纠纷案件鉴定</t>
  </si>
  <si>
    <t>申请鉴定标的</t>
  </si>
  <si>
    <t>计时收费</t>
  </si>
  <si>
    <t>注册造价师</t>
  </si>
  <si>
    <t>300元/小时</t>
  </si>
  <si>
    <t>造价员</t>
  </si>
  <si>
    <t>180元/小时</t>
  </si>
  <si>
    <t>按基本收费不足3000元的，按3000元计取                                                                                                                  本表错误计算之处请指正！</t>
  </si>
  <si>
    <t>招标代理服务费收费标准</t>
  </si>
  <si>
    <t>招标代理服务费收费标准（自动计算）</t>
  </si>
  <si>
    <t>服务类型费率
中标金额（万元）</t>
  </si>
  <si>
    <t>货物招标</t>
  </si>
  <si>
    <t>服务类型
费率
中标金额（万元）</t>
  </si>
  <si>
    <t>工程总造价（万元）</t>
  </si>
  <si>
    <t>100以下</t>
  </si>
  <si>
    <t>100-500</t>
  </si>
  <si>
    <t>1000-5000</t>
  </si>
  <si>
    <t>5000-10000</t>
  </si>
  <si>
    <t>10000-100000</t>
  </si>
  <si>
    <t>1000000以上</t>
  </si>
  <si>
    <t>编制环境影响报告
内插法（国家计委计价格【1999】1283号）</t>
  </si>
  <si>
    <t>编制环境影响报告</t>
  </si>
  <si>
    <t>收费基价（万元）</t>
  </si>
  <si>
    <t>0-3000</t>
  </si>
  <si>
    <t>3000-20000</t>
  </si>
  <si>
    <t>20000-100000</t>
  </si>
  <si>
    <t>100亿以上</t>
  </si>
  <si>
    <t>评估编制环境影响报告
内插法（国家计委计价格【1999】1283号）</t>
  </si>
  <si>
    <t>评估编制环境影响报告书</t>
  </si>
  <si>
    <t>评估编制环境影响报告表</t>
  </si>
  <si>
    <t>施工图设计审查咨询
收费标准</t>
  </si>
  <si>
    <t>施工图设计审查咨询
收费标准（自动计算）</t>
  </si>
  <si>
    <t>工程勘察</t>
  </si>
  <si>
    <t>施工图设计</t>
  </si>
  <si>
    <t>500以下</t>
  </si>
  <si>
    <t>0.5‰</t>
  </si>
  <si>
    <t>1.2‰</t>
  </si>
  <si>
    <t>500-2000</t>
  </si>
  <si>
    <t>0.4‰</t>
  </si>
  <si>
    <t>0.9‰</t>
  </si>
  <si>
    <t>2000-5000</t>
  </si>
  <si>
    <t>0.3‰</t>
  </si>
  <si>
    <t>0.7‰</t>
  </si>
  <si>
    <t>5000以上</t>
  </si>
  <si>
    <t>0.2‰</t>
  </si>
  <si>
    <t>类型</t>
  </si>
  <si>
    <t>民用建筑</t>
  </si>
  <si>
    <t>建筑工程费的2‰~4‰</t>
  </si>
  <si>
    <t>其他建筑</t>
  </si>
  <si>
    <t>建筑工程费的3‰~6‰</t>
  </si>
  <si>
    <t>水土保持补偿费</t>
  </si>
  <si>
    <t>一般性生产建设项目，1.5元/m2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</si>
</sst>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0.00_);[Red]\(0.00\)"/>
    <numFmt numFmtId="180" formatCode="0.0000_ "/>
  </numFmts>
  <fonts count="6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8"/>
      <name val="微软雅黑"/>
      <charset val="134"/>
    </font>
    <font>
      <sz val="12"/>
      <name val="黑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11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5"/>
      <name val="宋体"/>
      <charset val="134"/>
    </font>
    <font>
      <sz val="15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0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204"/>
      <scheme val="minor"/>
    </font>
    <font>
      <b/>
      <sz val="11"/>
      <color rgb="FF000000"/>
      <name val="宋体"/>
      <charset val="20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5" borderId="33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6" borderId="36" applyNumberFormat="0" applyAlignment="0" applyProtection="0">
      <alignment vertical="center"/>
    </xf>
    <xf numFmtId="0" fontId="50" fillId="7" borderId="37" applyNumberFormat="0" applyAlignment="0" applyProtection="0">
      <alignment vertical="center"/>
    </xf>
    <xf numFmtId="0" fontId="51" fillId="7" borderId="36" applyNumberFormat="0" applyAlignment="0" applyProtection="0">
      <alignment vertical="center"/>
    </xf>
    <xf numFmtId="0" fontId="52" fillId="8" borderId="38" applyNumberFormat="0" applyAlignment="0" applyProtection="0">
      <alignment vertical="center"/>
    </xf>
    <xf numFmtId="0" fontId="53" fillId="0" borderId="39" applyNumberFormat="0" applyFill="0" applyAlignment="0" applyProtection="0">
      <alignment vertical="center"/>
    </xf>
    <xf numFmtId="0" fontId="54" fillId="0" borderId="40" applyNumberFormat="0" applyFill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0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10" fontId="4" fillId="0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176" fontId="4" fillId="0" borderId="1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10" fillId="0" borderId="5" xfId="0" applyFont="1" applyFill="1" applyBorder="1" applyAlignment="1" applyProtection="1">
      <alignment horizontal="center" vertical="center" wrapText="1"/>
      <protection hidden="1"/>
    </xf>
    <xf numFmtId="0" fontId="10" fillId="0" borderId="6" xfId="0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Fill="1" applyBorder="1" applyAlignment="1" applyProtection="1">
      <alignment horizontal="center" vertical="center" wrapText="1"/>
      <protection hidden="1"/>
    </xf>
    <xf numFmtId="0" fontId="10" fillId="0" borderId="7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7" xfId="0" applyFont="1" applyFill="1" applyBorder="1" applyAlignment="1" applyProtection="1">
      <alignment horizontal="center" vertical="center" wrapText="1"/>
      <protection hidden="1"/>
    </xf>
    <xf numFmtId="0" fontId="1" fillId="0" borderId="8" xfId="0" applyFont="1" applyFill="1" applyBorder="1" applyAlignment="1" applyProtection="1">
      <alignment horizontal="center" vertical="center" wrapText="1"/>
      <protection hidden="1"/>
    </xf>
    <xf numFmtId="0" fontId="1" fillId="0" borderId="9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178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0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Fill="1" applyBorder="1" applyAlignment="1" applyProtection="1">
      <alignment horizontal="center" vertical="center" wrapText="1"/>
      <protection hidden="1"/>
    </xf>
    <xf numFmtId="0" fontId="1" fillId="0" borderId="12" xfId="0" applyFont="1" applyFill="1" applyBorder="1" applyAlignment="1" applyProtection="1">
      <alignment horizontal="center" vertical="center" wrapText="1"/>
      <protection hidden="1"/>
    </xf>
    <xf numFmtId="178" fontId="12" fillId="0" borderId="8" xfId="0" applyNumberFormat="1" applyFont="1" applyFill="1" applyBorder="1" applyAlignment="1" applyProtection="1">
      <alignment horizontal="center" vertical="center" wrapText="1"/>
      <protection hidden="1"/>
    </xf>
    <xf numFmtId="178" fontId="12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3" xfId="0" applyFont="1" applyFill="1" applyBorder="1" applyAlignment="1" applyProtection="1">
      <alignment horizontal="center" vertical="center" wrapText="1"/>
      <protection hidden="1"/>
    </xf>
    <xf numFmtId="178" fontId="12" fillId="0" borderId="10" xfId="0" applyNumberFormat="1" applyFont="1" applyFill="1" applyBorder="1" applyAlignment="1" applyProtection="1">
      <alignment horizontal="center" vertical="center" wrapText="1"/>
      <protection hidden="1"/>
    </xf>
    <xf numFmtId="178" fontId="12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4" xfId="0" applyFont="1" applyFill="1" applyBorder="1" applyAlignment="1" applyProtection="1">
      <alignment horizontal="center" vertical="center" wrapText="1"/>
      <protection hidden="1"/>
    </xf>
    <xf numFmtId="9" fontId="12" fillId="0" borderId="8" xfId="0" applyNumberFormat="1" applyFont="1" applyFill="1" applyBorder="1" applyAlignment="1" applyProtection="1">
      <alignment horizontal="center" vertical="center" wrapText="1"/>
      <protection hidden="1"/>
    </xf>
    <xf numFmtId="9" fontId="12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13" xfId="0" applyFont="1" applyFill="1" applyBorder="1" applyAlignment="1" applyProtection="1">
      <alignment horizontal="center" vertical="center" wrapText="1"/>
      <protection hidden="1"/>
    </xf>
    <xf numFmtId="9" fontId="12" fillId="0" borderId="10" xfId="0" applyNumberFormat="1" applyFont="1" applyFill="1" applyBorder="1" applyAlignment="1" applyProtection="1">
      <alignment horizontal="center" vertical="center" wrapText="1"/>
      <protection hidden="1"/>
    </xf>
    <xf numFmtId="9" fontId="12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7" xfId="0" applyFont="1" applyFill="1" applyBorder="1" applyAlignment="1" applyProtection="1">
      <alignment horizontal="center" vertical="center" wrapText="1"/>
      <protection hidden="1"/>
    </xf>
    <xf numFmtId="0" fontId="1" fillId="0" borderId="18" xfId="0" applyFont="1" applyFill="1" applyBorder="1" applyAlignment="1" applyProtection="1">
      <alignment horizontal="center" vertical="center" wrapText="1"/>
      <protection hidden="1"/>
    </xf>
    <xf numFmtId="0" fontId="1" fillId="0" borderId="14" xfId="0" applyFont="1" applyFill="1" applyBorder="1" applyAlignment="1" applyProtection="1">
      <alignment horizontal="center" vertical="center" wrapText="1"/>
      <protection hidden="1"/>
    </xf>
    <xf numFmtId="0" fontId="1" fillId="0" borderId="19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 wrapText="1"/>
      <protection hidden="1"/>
    </xf>
    <xf numFmtId="0" fontId="1" fillId="0" borderId="8" xfId="0" applyFont="1" applyFill="1" applyBorder="1" applyAlignment="1" applyProtection="1">
      <alignment vertical="center"/>
      <protection hidden="1"/>
    </xf>
    <xf numFmtId="9" fontId="12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13" xfId="0" applyFont="1" applyFill="1" applyBorder="1" applyAlignment="1" applyProtection="1">
      <alignment horizontal="center" vertical="center" wrapText="1"/>
      <protection hidden="1"/>
    </xf>
    <xf numFmtId="0" fontId="1" fillId="0" borderId="20" xfId="0" applyFont="1" applyFill="1" applyBorder="1" applyAlignment="1" applyProtection="1">
      <alignment horizontal="center" vertical="center"/>
      <protection hidden="1"/>
    </xf>
    <xf numFmtId="0" fontId="1" fillId="0" borderId="21" xfId="0" applyFont="1" applyFill="1" applyBorder="1" applyAlignment="1" applyProtection="1">
      <alignment horizontal="center" vertical="center" wrapText="1"/>
      <protection hidden="1"/>
    </xf>
    <xf numFmtId="0" fontId="1" fillId="0" borderId="22" xfId="0" applyFont="1" applyFill="1" applyBorder="1" applyAlignment="1" applyProtection="1">
      <alignment horizontal="center" vertical="center" wrapText="1"/>
      <protection hidden="1"/>
    </xf>
    <xf numFmtId="0" fontId="12" fillId="0" borderId="8" xfId="0" applyFont="1" applyFill="1" applyBorder="1" applyAlignment="1" applyProtection="1">
      <alignment horizontal="center" vertical="center" wrapText="1"/>
      <protection hidden="1"/>
    </xf>
    <xf numFmtId="0" fontId="1" fillId="0" borderId="23" xfId="0" applyFont="1" applyFill="1" applyBorder="1" applyAlignment="1" applyProtection="1">
      <alignment horizontal="center" vertical="center" wrapText="1"/>
      <protection hidden="1"/>
    </xf>
    <xf numFmtId="0" fontId="1" fillId="0" borderId="24" xfId="0" applyFont="1" applyFill="1" applyBorder="1" applyAlignment="1" applyProtection="1">
      <alignment horizontal="center" vertical="center" wrapText="1"/>
      <protection hidden="1"/>
    </xf>
    <xf numFmtId="0" fontId="12" fillId="0" borderId="24" xfId="0" applyFont="1" applyFill="1" applyBorder="1" applyAlignment="1" applyProtection="1">
      <alignment horizontal="center" vertical="center" wrapText="1"/>
      <protection hidden="1"/>
    </xf>
    <xf numFmtId="0" fontId="14" fillId="3" borderId="0" xfId="0" applyFont="1" applyFill="1" applyBorder="1" applyAlignment="1" applyProtection="1">
      <alignment horizontal="center" vertical="center"/>
      <protection locked="0" hidden="1"/>
    </xf>
    <xf numFmtId="0" fontId="15" fillId="3" borderId="5" xfId="0" applyFont="1" applyFill="1" applyBorder="1" applyAlignment="1" applyProtection="1">
      <alignment horizontal="center" vertical="center" wrapText="1"/>
      <protection hidden="1"/>
    </xf>
    <xf numFmtId="0" fontId="15" fillId="3" borderId="6" xfId="0" applyFont="1" applyFill="1" applyBorder="1" applyAlignment="1" applyProtection="1">
      <alignment horizontal="center" vertical="center" wrapText="1"/>
      <protection hidden="1"/>
    </xf>
    <xf numFmtId="0" fontId="15" fillId="3" borderId="7" xfId="0" applyFont="1" applyFill="1" applyBorder="1" applyAlignment="1" applyProtection="1">
      <alignment horizontal="center" vertical="center"/>
      <protection hidden="1"/>
    </xf>
    <xf numFmtId="0" fontId="15" fillId="3" borderId="1" xfId="0" applyFont="1" applyFill="1" applyBorder="1" applyAlignment="1" applyProtection="1">
      <alignment horizontal="center" vertical="center"/>
      <protection hidden="1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 applyProtection="1">
      <alignment horizontal="center" vertical="center"/>
      <protection hidden="1"/>
    </xf>
    <xf numFmtId="9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178" fontId="12" fillId="0" borderId="12" xfId="0" applyNumberFormat="1" applyFont="1" applyFill="1" applyBorder="1" applyAlignment="1" applyProtection="1">
      <alignment horizontal="center" vertical="center" wrapText="1"/>
      <protection hidden="1"/>
    </xf>
    <xf numFmtId="178" fontId="12" fillId="0" borderId="13" xfId="0" applyNumberFormat="1" applyFont="1" applyFill="1" applyBorder="1" applyAlignment="1" applyProtection="1">
      <alignment horizontal="center" vertical="center" wrapText="1"/>
      <protection hidden="1"/>
    </xf>
    <xf numFmtId="9" fontId="12" fillId="0" borderId="9" xfId="0" applyNumberFormat="1" applyFont="1" applyFill="1" applyBorder="1" applyAlignment="1" applyProtection="1">
      <alignment horizontal="center" vertical="center" wrapText="1"/>
      <protection hidden="1"/>
    </xf>
    <xf numFmtId="9" fontId="12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17" xfId="0" applyFont="1" applyFill="1" applyBorder="1" applyAlignment="1" applyProtection="1">
      <alignment horizontal="center" vertical="center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16" fillId="4" borderId="24" xfId="0" applyFont="1" applyFill="1" applyBorder="1" applyAlignment="1" applyProtection="1">
      <alignment horizontal="center" vertical="center"/>
      <protection hidden="1"/>
    </xf>
    <xf numFmtId="0" fontId="1" fillId="3" borderId="26" xfId="0" applyFont="1" applyFill="1" applyBorder="1" applyAlignment="1" applyProtection="1">
      <alignment horizontal="center" vertical="center" wrapText="1"/>
      <protection hidden="1"/>
    </xf>
    <xf numFmtId="0" fontId="1" fillId="3" borderId="27" xfId="0" applyFont="1" applyFill="1" applyBorder="1" applyAlignment="1" applyProtection="1">
      <alignment horizontal="center" vertical="center"/>
      <protection hidden="1"/>
    </xf>
    <xf numFmtId="0" fontId="1" fillId="4" borderId="27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176" fontId="6" fillId="0" borderId="27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176" fontId="17" fillId="0" borderId="30" xfId="0" applyNumberFormat="1" applyFont="1" applyFill="1" applyBorder="1" applyAlignment="1">
      <alignment horizontal="center" vertical="center"/>
    </xf>
    <xf numFmtId="9" fontId="0" fillId="0" borderId="0" xfId="0" applyNumberFormat="1" applyFont="1" applyFill="1" applyBorder="1" applyAlignment="1">
      <alignment vertical="center"/>
    </xf>
    <xf numFmtId="9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  <xf numFmtId="10" fontId="0" fillId="0" borderId="0" xfId="0" applyNumberFormat="1" applyFont="1" applyFill="1" applyBorder="1" applyAlignment="1">
      <alignment vertical="center"/>
    </xf>
    <xf numFmtId="10" fontId="0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6" fontId="23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/>
    </xf>
    <xf numFmtId="179" fontId="25" fillId="0" borderId="1" xfId="0" applyNumberFormat="1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24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76" fontId="28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176" fontId="30" fillId="0" borderId="1" xfId="0" applyNumberFormat="1" applyFont="1" applyFill="1" applyBorder="1" applyAlignment="1" applyProtection="1">
      <alignment horizontal="center" vertical="center" wrapText="1"/>
    </xf>
    <xf numFmtId="176" fontId="31" fillId="0" borderId="1" xfId="0" applyNumberFormat="1" applyFont="1" applyFill="1" applyBorder="1" applyAlignment="1">
      <alignment horizontal="center" vertical="center" shrinkToFit="1"/>
    </xf>
    <xf numFmtId="177" fontId="28" fillId="0" borderId="1" xfId="0" applyNumberFormat="1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6" fontId="32" fillId="0" borderId="1" xfId="0" applyNumberFormat="1" applyFont="1" applyFill="1" applyBorder="1" applyAlignment="1">
      <alignment horizontal="center" vertical="center" shrinkToFit="1"/>
    </xf>
    <xf numFmtId="0" fontId="33" fillId="0" borderId="19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35" fillId="0" borderId="1" xfId="0" applyFont="1" applyFill="1" applyBorder="1" applyAlignment="1">
      <alignment horizontal="center" vertical="center" wrapText="1"/>
    </xf>
    <xf numFmtId="176" fontId="36" fillId="0" borderId="19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>
      <alignment vertical="center"/>
    </xf>
    <xf numFmtId="176" fontId="34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>
      <alignment vertical="center"/>
    </xf>
    <xf numFmtId="176" fontId="28" fillId="0" borderId="1" xfId="0" applyNumberFormat="1" applyFont="1" applyFill="1" applyBorder="1" applyAlignment="1">
      <alignment horizontal="center" vertical="center" shrinkToFit="1"/>
    </xf>
    <xf numFmtId="0" fontId="35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>
      <alignment vertical="center"/>
    </xf>
    <xf numFmtId="176" fontId="19" fillId="0" borderId="19" xfId="0" applyNumberFormat="1" applyFont="1" applyFill="1" applyBorder="1" applyAlignment="1">
      <alignment horizontal="center" vertical="center"/>
    </xf>
    <xf numFmtId="176" fontId="34" fillId="0" borderId="1" xfId="0" applyNumberFormat="1" applyFont="1" applyBorder="1" applyAlignment="1">
      <alignment horizontal="center" vertical="center"/>
    </xf>
    <xf numFmtId="176" fontId="35" fillId="0" borderId="1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176" fontId="37" fillId="0" borderId="1" xfId="0" applyNumberFormat="1" applyFont="1" applyFill="1" applyBorder="1" applyAlignment="1">
      <alignment horizontal="center" vertical="center" wrapText="1"/>
    </xf>
    <xf numFmtId="176" fontId="38" fillId="0" borderId="1" xfId="0" applyNumberFormat="1" applyFont="1" applyFill="1" applyBorder="1" applyAlignment="1">
      <alignment horizontal="center" vertical="center" wrapText="1"/>
    </xf>
    <xf numFmtId="176" fontId="38" fillId="0" borderId="19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left" vertical="center"/>
    </xf>
    <xf numFmtId="0" fontId="39" fillId="0" borderId="31" xfId="0" applyFont="1" applyFill="1" applyBorder="1" applyAlignment="1">
      <alignment horizontal="left" vertical="center" wrapText="1"/>
    </xf>
    <xf numFmtId="176" fontId="0" fillId="0" borderId="0" xfId="0" applyNumberFormat="1" applyFont="1">
      <alignment vertical="center"/>
    </xf>
    <xf numFmtId="176" fontId="28" fillId="0" borderId="1" xfId="0" applyNumberFormat="1" applyFont="1" applyFill="1" applyBorder="1" applyAlignment="1">
      <alignment horizontal="right" vertical="center"/>
    </xf>
    <xf numFmtId="0" fontId="40" fillId="0" borderId="31" xfId="0" applyFont="1" applyFill="1" applyBorder="1" applyAlignment="1">
      <alignment horizontal="left" vertical="center" wrapText="1"/>
    </xf>
    <xf numFmtId="180" fontId="0" fillId="0" borderId="0" xfId="0" applyNumberFormat="1" applyFont="1">
      <alignment vertical="center"/>
    </xf>
    <xf numFmtId="176" fontId="0" fillId="0" borderId="0" xfId="0" applyNumberFormat="1" applyFont="1" applyFill="1">
      <alignment vertical="center"/>
    </xf>
    <xf numFmtId="176" fontId="36" fillId="0" borderId="1" xfId="0" applyNumberFormat="1" applyFont="1" applyFill="1" applyBorder="1" applyAlignment="1">
      <alignment horizontal="left" vertical="center" shrinkToFit="1"/>
    </xf>
    <xf numFmtId="176" fontId="0" fillId="0" borderId="0" xfId="0" applyNumberFormat="1" applyFill="1">
      <alignment vertical="center"/>
    </xf>
    <xf numFmtId="0" fontId="33" fillId="0" borderId="1" xfId="0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center" vertical="center" wrapText="1"/>
    </xf>
    <xf numFmtId="0" fontId="33" fillId="0" borderId="31" xfId="0" applyFont="1" applyFill="1" applyBorder="1" applyAlignment="1">
      <alignment horizontal="center" vertical="center" wrapText="1"/>
    </xf>
    <xf numFmtId="176" fontId="36" fillId="0" borderId="32" xfId="0" applyNumberFormat="1" applyFont="1" applyFill="1" applyBorder="1" applyAlignment="1">
      <alignment horizontal="center" vertical="center" shrinkToFit="1"/>
    </xf>
    <xf numFmtId="176" fontId="36" fillId="0" borderId="31" xfId="0" applyNumberFormat="1" applyFont="1" applyFill="1" applyBorder="1" applyAlignment="1">
      <alignment horizontal="center" vertical="center" shrinkToFit="1"/>
    </xf>
    <xf numFmtId="176" fontId="19" fillId="0" borderId="32" xfId="0" applyNumberFormat="1" applyFont="1" applyFill="1" applyBorder="1" applyAlignment="1">
      <alignment horizontal="center" vertical="center"/>
    </xf>
    <xf numFmtId="176" fontId="19" fillId="0" borderId="31" xfId="0" applyNumberFormat="1" applyFont="1" applyFill="1" applyBorder="1" applyAlignment="1">
      <alignment horizontal="center" vertical="center"/>
    </xf>
    <xf numFmtId="0" fontId="33" fillId="0" borderId="31" xfId="0" applyFont="1" applyFill="1" applyBorder="1" applyAlignment="1">
      <alignment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31" xfId="0" applyFont="1" applyBorder="1" applyAlignment="1">
      <alignment vertical="center" wrapText="1"/>
    </xf>
    <xf numFmtId="176" fontId="38" fillId="0" borderId="32" xfId="0" applyNumberFormat="1" applyFont="1" applyFill="1" applyBorder="1" applyAlignment="1">
      <alignment horizontal="center" vertical="center" wrapText="1"/>
    </xf>
    <xf numFmtId="176" fontId="38" fillId="0" borderId="3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Book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customXml" Target="../customXml/item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14</xdr:row>
      <xdr:rowOff>0</xdr:rowOff>
    </xdr:from>
    <xdr:to>
      <xdr:col>0</xdr:col>
      <xdr:colOff>333375</xdr:colOff>
      <xdr:row>14</xdr:row>
      <xdr:rowOff>8890</xdr:rowOff>
    </xdr:to>
    <xdr:sp>
      <xdr:nvSpPr>
        <xdr:cNvPr id="2" name="文本框 1"/>
        <xdr:cNvSpPr txBox="1"/>
      </xdr:nvSpPr>
      <xdr:spPr>
        <a:xfrm>
          <a:off x="0" y="3085465"/>
          <a:ext cx="333375" cy="8890"/>
        </a:xfrm>
        <a:prstGeom prst="rect">
          <a:avLst/>
        </a:prstGeom>
        <a:noFill/>
        <a:ln w="9525">
          <a:noFill/>
        </a:ln>
      </xdr:spPr>
      <xdr:txBody>
        <a:bodyPr vertOverflow="clip" vert="wordArtVertRtl" wrap="square" anchor="b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rPr>
            <a:t> </a:t>
          </a:r>
          <a:endParaRPr lang="zh-CN" altLang="en-US" sz="900">
            <a:solidFill>
              <a:srgbClr val="000000"/>
            </a:solidFill>
            <a:latin typeface="Times New Roman" panose="02020603050405020304" charset="0"/>
            <a:ea typeface="Times New Roman" panose="02020603050405020304" charset="0"/>
            <a:cs typeface="Times New Roman" panose="02020603050405020304" charset="0"/>
            <a:sym typeface="Times New Roman" panose="0202060305040502030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1</xdr:row>
      <xdr:rowOff>8255</xdr:rowOff>
    </xdr:from>
    <xdr:to>
      <xdr:col>11</xdr:col>
      <xdr:colOff>409575</xdr:colOff>
      <xdr:row>15</xdr:row>
      <xdr:rowOff>104775</xdr:rowOff>
    </xdr:to>
    <xdr:pic>
      <xdr:nvPicPr>
        <xdr:cNvPr id="2" name="图片 1" descr="16766207725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745" y="206375"/>
          <a:ext cx="6572250" cy="287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</xdr:colOff>
      <xdr:row>17</xdr:row>
      <xdr:rowOff>8255</xdr:rowOff>
    </xdr:from>
    <xdr:to>
      <xdr:col>10</xdr:col>
      <xdr:colOff>0</xdr:colOff>
      <xdr:row>29</xdr:row>
      <xdr:rowOff>142875</xdr:rowOff>
    </xdr:to>
    <xdr:pic>
      <xdr:nvPicPr>
        <xdr:cNvPr id="3" name="图片 2" descr="167662081019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6745" y="3376295"/>
          <a:ext cx="5545455" cy="2512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"/>
  <sheetViews>
    <sheetView tabSelected="1" view="pageBreakPreview" zoomScale="145" zoomScaleNormal="85" workbookViewId="0">
      <pane ySplit="5" topLeftCell="A34" activePane="bottomLeft" state="frozen"/>
      <selection/>
      <selection pane="bottomLeft" activeCell="A5" sqref="$A5:$XFD43"/>
    </sheetView>
  </sheetViews>
  <sheetFormatPr defaultColWidth="9" defaultRowHeight="14.4"/>
  <cols>
    <col min="1" max="1" width="7.25" customWidth="1"/>
    <col min="2" max="2" width="22.25" customWidth="1"/>
    <col min="3" max="6" width="10.6296296296296" customWidth="1"/>
    <col min="7" max="7" width="12.25" style="136" customWidth="1"/>
    <col min="8" max="8" width="6.37962962962963" style="136" hidden="1" customWidth="1"/>
    <col min="9" max="9" width="13.5" style="136" hidden="1" customWidth="1"/>
    <col min="10" max="10" width="10.75" hidden="1" customWidth="1"/>
    <col min="11" max="11" width="8.87962962962963" hidden="1" customWidth="1"/>
    <col min="12" max="12" width="9" hidden="1" customWidth="1"/>
    <col min="13" max="13" width="12.8888888888889"/>
    <col min="14" max="14" width="12.6296296296296" style="140"/>
  </cols>
  <sheetData>
    <row r="1" ht="24" customHeight="1" spans="1:11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21" customHeight="1" spans="1:11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ht="22" customHeight="1" spans="1:11">
      <c r="A3" s="143" t="s">
        <v>2</v>
      </c>
      <c r="B3" s="143" t="s">
        <v>3</v>
      </c>
      <c r="C3" s="143" t="s">
        <v>4</v>
      </c>
      <c r="D3" s="143"/>
      <c r="E3" s="143"/>
      <c r="F3" s="143"/>
      <c r="G3" s="143"/>
      <c r="H3" s="143" t="s">
        <v>5</v>
      </c>
      <c r="I3" s="143"/>
      <c r="J3" s="179"/>
      <c r="K3" s="143" t="s">
        <v>6</v>
      </c>
    </row>
    <row r="4" ht="30" customHeight="1" spans="1:11">
      <c r="A4" s="143"/>
      <c r="B4" s="143"/>
      <c r="C4" s="143" t="s">
        <v>7</v>
      </c>
      <c r="D4" s="143" t="s">
        <v>8</v>
      </c>
      <c r="E4" s="143" t="s">
        <v>9</v>
      </c>
      <c r="F4" s="143" t="s">
        <v>10</v>
      </c>
      <c r="G4" s="143" t="s">
        <v>11</v>
      </c>
      <c r="H4" s="143" t="s">
        <v>12</v>
      </c>
      <c r="I4" s="143" t="s">
        <v>13</v>
      </c>
      <c r="J4" s="180" t="s">
        <v>14</v>
      </c>
      <c r="K4" s="143"/>
    </row>
    <row r="5" ht="25" customHeight="1" spans="1:11">
      <c r="A5" s="144" t="s">
        <v>15</v>
      </c>
      <c r="B5" s="144" t="s">
        <v>16</v>
      </c>
      <c r="C5" s="144">
        <f>+SUM(C6:C17)</f>
        <v>24004.214513</v>
      </c>
      <c r="D5" s="144">
        <f t="shared" ref="D5:I5" si="0">+SUM(D6:D17)</f>
        <v>0</v>
      </c>
      <c r="E5" s="144">
        <f t="shared" si="0"/>
        <v>0</v>
      </c>
      <c r="F5" s="144">
        <f t="shared" si="0"/>
        <v>0</v>
      </c>
      <c r="G5" s="144">
        <f>C5+D5+E5+F5</f>
        <v>24004.214513</v>
      </c>
      <c r="H5" s="145"/>
      <c r="I5" s="144">
        <f t="shared" si="0"/>
        <v>6955280</v>
      </c>
      <c r="J5" s="145"/>
      <c r="K5" s="181"/>
    </row>
    <row r="6" s="136" customFormat="1" ht="25" customHeight="1" spans="1:14">
      <c r="A6" s="146">
        <v>1</v>
      </c>
      <c r="B6" s="147" t="s">
        <v>17</v>
      </c>
      <c r="C6" s="144">
        <v>15008.935936</v>
      </c>
      <c r="D6" s="144"/>
      <c r="E6" s="144"/>
      <c r="F6" s="144"/>
      <c r="G6" s="144">
        <f>C6+D6+E6+F6</f>
        <v>15008.935936</v>
      </c>
      <c r="H6" s="144" t="s">
        <v>18</v>
      </c>
      <c r="I6" s="144">
        <v>1758160</v>
      </c>
      <c r="J6" s="144">
        <f>G6/I6*10000</f>
        <v>85.3672927151113</v>
      </c>
      <c r="K6" s="182"/>
      <c r="N6" s="183"/>
    </row>
    <row r="7" s="136" customFormat="1" ht="25" customHeight="1" spans="1:14">
      <c r="A7" s="146">
        <v>2</v>
      </c>
      <c r="B7" s="147" t="s">
        <v>19</v>
      </c>
      <c r="C7" s="144">
        <v>443.81522</v>
      </c>
      <c r="D7" s="144"/>
      <c r="E7" s="144"/>
      <c r="F7" s="144"/>
      <c r="G7" s="144">
        <f>C7+D7+E7+F7</f>
        <v>443.81522</v>
      </c>
      <c r="H7" s="144" t="s">
        <v>20</v>
      </c>
      <c r="I7" s="184">
        <v>28850</v>
      </c>
      <c r="J7" s="144">
        <f t="shared" ref="J7:J17" si="1">G7/I7*10000</f>
        <v>153.835431542461</v>
      </c>
      <c r="K7" s="182"/>
      <c r="N7" s="183"/>
    </row>
    <row r="8" s="136" customFormat="1" ht="25" customHeight="1" spans="1:14">
      <c r="A8" s="146">
        <v>3</v>
      </c>
      <c r="B8" s="147" t="s">
        <v>21</v>
      </c>
      <c r="C8" s="144">
        <v>418.559281</v>
      </c>
      <c r="D8" s="144"/>
      <c r="E8" s="144"/>
      <c r="F8" s="144"/>
      <c r="G8" s="144">
        <f t="shared" ref="G8:G17" si="2">C8+D8+E8+F8</f>
        <v>418.559281</v>
      </c>
      <c r="H8" s="144" t="s">
        <v>20</v>
      </c>
      <c r="I8" s="184">
        <v>36810</v>
      </c>
      <c r="J8" s="144">
        <f t="shared" si="1"/>
        <v>113.708036131486</v>
      </c>
      <c r="K8" s="182"/>
      <c r="N8" s="183"/>
    </row>
    <row r="9" s="137" customFormat="1" ht="25" customHeight="1" spans="1:14">
      <c r="A9" s="146">
        <v>4</v>
      </c>
      <c r="B9" s="144" t="s">
        <v>22</v>
      </c>
      <c r="C9" s="144">
        <v>1488.938754</v>
      </c>
      <c r="D9" s="144"/>
      <c r="E9" s="144"/>
      <c r="F9" s="144"/>
      <c r="G9" s="144">
        <f t="shared" si="2"/>
        <v>1488.938754</v>
      </c>
      <c r="H9" s="144" t="s">
        <v>20</v>
      </c>
      <c r="I9" s="184">
        <v>32310</v>
      </c>
      <c r="J9" s="144">
        <f t="shared" si="1"/>
        <v>460.829078922934</v>
      </c>
      <c r="K9" s="185"/>
      <c r="M9" s="136"/>
      <c r="N9" s="183"/>
    </row>
    <row r="10" s="136" customFormat="1" ht="25" customHeight="1" spans="1:14">
      <c r="A10" s="146">
        <v>5</v>
      </c>
      <c r="B10" s="144" t="s">
        <v>23</v>
      </c>
      <c r="C10" s="144">
        <v>87.599324</v>
      </c>
      <c r="D10" s="144"/>
      <c r="E10" s="144"/>
      <c r="F10" s="144"/>
      <c r="G10" s="144">
        <f t="shared" si="2"/>
        <v>87.599324</v>
      </c>
      <c r="H10" s="144" t="s">
        <v>20</v>
      </c>
      <c r="I10" s="184">
        <v>3740</v>
      </c>
      <c r="J10" s="144">
        <f t="shared" si="1"/>
        <v>234.22279144385</v>
      </c>
      <c r="K10" s="182"/>
      <c r="N10" s="183"/>
    </row>
    <row r="11" s="136" customFormat="1" ht="25" customHeight="1" spans="1:14">
      <c r="A11" s="146">
        <v>6</v>
      </c>
      <c r="B11" s="144" t="s">
        <v>24</v>
      </c>
      <c r="C11" s="144">
        <v>486.510842</v>
      </c>
      <c r="D11" s="144"/>
      <c r="E11" s="144"/>
      <c r="F11" s="144"/>
      <c r="G11" s="144">
        <f t="shared" si="2"/>
        <v>486.510842</v>
      </c>
      <c r="H11" s="144" t="s">
        <v>20</v>
      </c>
      <c r="I11" s="184">
        <v>24250</v>
      </c>
      <c r="J11" s="144">
        <f t="shared" si="1"/>
        <v>200.623027628866</v>
      </c>
      <c r="K11" s="182"/>
      <c r="N11" s="186"/>
    </row>
    <row r="12" s="138" customFormat="1" ht="25" customHeight="1" spans="1:14">
      <c r="A12" s="146">
        <v>7</v>
      </c>
      <c r="B12" s="144" t="s">
        <v>25</v>
      </c>
      <c r="C12" s="144">
        <v>2718.781869</v>
      </c>
      <c r="D12" s="144"/>
      <c r="E12" s="144"/>
      <c r="F12" s="144"/>
      <c r="G12" s="144">
        <f t="shared" si="2"/>
        <v>2718.781869</v>
      </c>
      <c r="H12" s="144" t="s">
        <v>18</v>
      </c>
      <c r="I12" s="184">
        <v>118200</v>
      </c>
      <c r="J12" s="144">
        <f t="shared" si="1"/>
        <v>230.015386548223</v>
      </c>
      <c r="K12" s="182"/>
      <c r="N12" s="187"/>
    </row>
    <row r="13" s="138" customFormat="1" ht="25" customHeight="1" spans="1:14">
      <c r="A13" s="146">
        <v>8</v>
      </c>
      <c r="B13" s="144" t="s">
        <v>26</v>
      </c>
      <c r="C13" s="144">
        <v>738.113738</v>
      </c>
      <c r="D13" s="144"/>
      <c r="E13" s="144"/>
      <c r="F13" s="144"/>
      <c r="G13" s="144">
        <f t="shared" si="2"/>
        <v>738.113738</v>
      </c>
      <c r="H13" s="144" t="s">
        <v>18</v>
      </c>
      <c r="I13" s="184">
        <v>798700</v>
      </c>
      <c r="J13" s="144">
        <f t="shared" si="1"/>
        <v>9.24143906347815</v>
      </c>
      <c r="K13" s="182"/>
      <c r="N13" s="187"/>
    </row>
    <row r="14" s="138" customFormat="1" ht="25" customHeight="1" spans="1:14">
      <c r="A14" s="146">
        <v>9</v>
      </c>
      <c r="B14" s="144" t="s">
        <v>27</v>
      </c>
      <c r="C14" s="144">
        <v>198.665371</v>
      </c>
      <c r="D14" s="144"/>
      <c r="E14" s="144"/>
      <c r="F14" s="144"/>
      <c r="G14" s="144">
        <f t="shared" si="2"/>
        <v>198.665371</v>
      </c>
      <c r="H14" s="144" t="s">
        <v>18</v>
      </c>
      <c r="I14" s="184">
        <v>1758160</v>
      </c>
      <c r="J14" s="144">
        <f t="shared" si="1"/>
        <v>1.1299618407881</v>
      </c>
      <c r="K14" s="182"/>
      <c r="N14" s="187"/>
    </row>
    <row r="15" s="138" customFormat="1" ht="25" customHeight="1" spans="1:14">
      <c r="A15" s="146">
        <v>10</v>
      </c>
      <c r="B15" s="144" t="s">
        <v>28</v>
      </c>
      <c r="C15" s="144">
        <v>107.000389</v>
      </c>
      <c r="D15" s="144"/>
      <c r="E15" s="144"/>
      <c r="F15" s="144"/>
      <c r="G15" s="144">
        <f t="shared" si="2"/>
        <v>107.000389</v>
      </c>
      <c r="H15" s="144" t="s">
        <v>18</v>
      </c>
      <c r="I15" s="184">
        <v>798700</v>
      </c>
      <c r="J15" s="144">
        <f t="shared" si="1"/>
        <v>1.33968184549894</v>
      </c>
      <c r="K15" s="182"/>
      <c r="N15" s="187"/>
    </row>
    <row r="16" s="138" customFormat="1" ht="25" customHeight="1" spans="1:14">
      <c r="A16" s="146">
        <v>11</v>
      </c>
      <c r="B16" s="144" t="s">
        <v>29</v>
      </c>
      <c r="C16" s="144">
        <v>2164.962015</v>
      </c>
      <c r="D16" s="144"/>
      <c r="E16" s="144"/>
      <c r="F16" s="144"/>
      <c r="G16" s="144">
        <f t="shared" si="2"/>
        <v>2164.962015</v>
      </c>
      <c r="H16" s="144" t="s">
        <v>18</v>
      </c>
      <c r="I16" s="184">
        <v>798700</v>
      </c>
      <c r="J16" s="144">
        <f t="shared" si="1"/>
        <v>27.1060725554025</v>
      </c>
      <c r="K16" s="182"/>
      <c r="N16" s="187"/>
    </row>
    <row r="17" s="138" customFormat="1" ht="25" customHeight="1" spans="1:14">
      <c r="A17" s="146">
        <v>12</v>
      </c>
      <c r="B17" s="144" t="s">
        <v>30</v>
      </c>
      <c r="C17" s="144">
        <v>142.331774</v>
      </c>
      <c r="D17" s="144"/>
      <c r="E17" s="144"/>
      <c r="F17" s="144"/>
      <c r="G17" s="144">
        <f t="shared" si="2"/>
        <v>142.331774</v>
      </c>
      <c r="H17" s="144" t="s">
        <v>18</v>
      </c>
      <c r="I17" s="184">
        <v>798700</v>
      </c>
      <c r="J17" s="144">
        <f t="shared" si="1"/>
        <v>1.78204299486666</v>
      </c>
      <c r="K17" s="182"/>
      <c r="N17" s="187"/>
    </row>
    <row r="18" s="139" customFormat="1" ht="25" customHeight="1" spans="1:14">
      <c r="A18" s="147" t="s">
        <v>31</v>
      </c>
      <c r="B18" s="147" t="s">
        <v>32</v>
      </c>
      <c r="C18" s="148"/>
      <c r="D18" s="147"/>
      <c r="E18" s="147"/>
      <c r="F18" s="149">
        <f>F19+F22+F25+F26+F27+F31+F32+F33+F36+F41</f>
        <v>2117.24529588555</v>
      </c>
      <c r="G18" s="149">
        <f>F18</f>
        <v>2117.24529588555</v>
      </c>
      <c r="H18" s="145"/>
      <c r="I18" s="188"/>
      <c r="J18" s="188"/>
      <c r="K18" s="188"/>
      <c r="N18" s="189"/>
    </row>
    <row r="19" s="139" customFormat="1" ht="25" customHeight="1" spans="1:14">
      <c r="A19" s="150">
        <v>1</v>
      </c>
      <c r="B19" s="147" t="s">
        <v>33</v>
      </c>
      <c r="C19" s="148"/>
      <c r="D19" s="147"/>
      <c r="E19" s="147"/>
      <c r="F19" s="149">
        <f>F20+F21</f>
        <v>736.46848156462</v>
      </c>
      <c r="G19" s="149">
        <f>F19</f>
        <v>736.46848156462</v>
      </c>
      <c r="H19" s="145"/>
      <c r="I19" s="190"/>
      <c r="J19" s="190"/>
      <c r="K19" s="190"/>
      <c r="N19" s="189"/>
    </row>
    <row r="20" s="139" customFormat="1" ht="25" customHeight="1" spans="1:14">
      <c r="A20" s="151">
        <v>1.1</v>
      </c>
      <c r="B20" s="152" t="s">
        <v>34</v>
      </c>
      <c r="C20" s="148"/>
      <c r="D20" s="152"/>
      <c r="E20" s="152"/>
      <c r="F20" s="153">
        <f>140+(G5-10000)*1%</f>
        <v>280.04214513</v>
      </c>
      <c r="G20" s="153">
        <f>F20</f>
        <v>280.04214513</v>
      </c>
      <c r="H20" s="154" t="s">
        <v>35</v>
      </c>
      <c r="I20" s="191"/>
      <c r="J20" s="191"/>
      <c r="K20" s="192"/>
      <c r="N20" s="189"/>
    </row>
    <row r="21" s="139" customFormat="1" ht="25" customHeight="1" spans="1:14">
      <c r="A21" s="155">
        <v>1.2</v>
      </c>
      <c r="B21" s="156" t="s">
        <v>36</v>
      </c>
      <c r="C21" s="157"/>
      <c r="D21" s="157"/>
      <c r="E21" s="157"/>
      <c r="F21" s="153">
        <f>+监理费!F11</f>
        <v>456.42633643462</v>
      </c>
      <c r="G21" s="153">
        <f t="shared" ref="G21:G35" si="3">F21</f>
        <v>456.42633643462</v>
      </c>
      <c r="H21" s="154" t="s">
        <v>37</v>
      </c>
      <c r="I21" s="191"/>
      <c r="J21" s="191"/>
      <c r="K21" s="192"/>
      <c r="N21" s="189"/>
    </row>
    <row r="22" s="139" customFormat="1" ht="25" customHeight="1" spans="1:14">
      <c r="A22" s="158">
        <v>2</v>
      </c>
      <c r="B22" s="158" t="s">
        <v>38</v>
      </c>
      <c r="C22" s="157"/>
      <c r="D22" s="157"/>
      <c r="E22" s="157"/>
      <c r="F22" s="149">
        <f>SUM(F23:F24)</f>
        <v>66.50737539775</v>
      </c>
      <c r="G22" s="149">
        <f t="shared" si="3"/>
        <v>66.50737539775</v>
      </c>
      <c r="H22" s="159"/>
      <c r="I22" s="193"/>
      <c r="J22" s="193"/>
      <c r="K22" s="194"/>
      <c r="N22" s="189"/>
    </row>
    <row r="23" s="139" customFormat="1" ht="25" customHeight="1" spans="1:14">
      <c r="A23" s="155">
        <v>2.1</v>
      </c>
      <c r="B23" s="155" t="s">
        <v>39</v>
      </c>
      <c r="C23" s="160"/>
      <c r="D23" s="160"/>
      <c r="E23" s="160"/>
      <c r="F23" s="161">
        <f>+项目建议书!F7</f>
        <v>22.052423344975</v>
      </c>
      <c r="G23" s="153">
        <f t="shared" si="3"/>
        <v>22.052423344975</v>
      </c>
      <c r="H23" s="154" t="s">
        <v>40</v>
      </c>
      <c r="I23" s="191"/>
      <c r="J23" s="191"/>
      <c r="K23" s="192"/>
      <c r="N23" s="189"/>
    </row>
    <row r="24" s="139" customFormat="1" ht="25" customHeight="1" spans="1:14">
      <c r="A24" s="155">
        <v>2.2</v>
      </c>
      <c r="B24" s="155" t="s">
        <v>41</v>
      </c>
      <c r="C24" s="160"/>
      <c r="D24" s="160"/>
      <c r="E24" s="160"/>
      <c r="F24" s="161">
        <f>+可行性研究报告!F7</f>
        <v>44.454952052775</v>
      </c>
      <c r="G24" s="153">
        <f t="shared" si="3"/>
        <v>44.454952052775</v>
      </c>
      <c r="H24" s="154" t="s">
        <v>40</v>
      </c>
      <c r="I24" s="191"/>
      <c r="J24" s="191"/>
      <c r="K24" s="192"/>
      <c r="N24" s="189"/>
    </row>
    <row r="25" s="139" customFormat="1" ht="25" customHeight="1" spans="1:14">
      <c r="A25" s="162">
        <v>3</v>
      </c>
      <c r="B25" s="162" t="s">
        <v>42</v>
      </c>
      <c r="C25" s="163"/>
      <c r="D25" s="163"/>
      <c r="E25" s="163"/>
      <c r="F25" s="164">
        <f>G5*0.3%</f>
        <v>72.012643539</v>
      </c>
      <c r="G25" s="164">
        <f t="shared" si="3"/>
        <v>72.012643539</v>
      </c>
      <c r="H25" s="159"/>
      <c r="I25" s="193"/>
      <c r="J25" s="193"/>
      <c r="K25" s="194"/>
      <c r="N25" s="189"/>
    </row>
    <row r="26" s="139" customFormat="1" ht="25" customHeight="1" spans="1:14">
      <c r="A26" s="158">
        <v>4</v>
      </c>
      <c r="B26" s="165" t="s">
        <v>43</v>
      </c>
      <c r="C26" s="160"/>
      <c r="D26" s="160"/>
      <c r="E26" s="160"/>
      <c r="F26" s="149">
        <f>+设计费!F12</f>
        <v>664.34266553668</v>
      </c>
      <c r="G26" s="149">
        <f t="shared" si="3"/>
        <v>664.34266553668</v>
      </c>
      <c r="H26" s="159"/>
      <c r="I26" s="193"/>
      <c r="J26" s="193"/>
      <c r="K26" s="194"/>
      <c r="N26" s="189"/>
    </row>
    <row r="27" s="139" customFormat="1" ht="25" customHeight="1" spans="1:14">
      <c r="A27" s="158">
        <v>5</v>
      </c>
      <c r="B27" s="158" t="s">
        <v>44</v>
      </c>
      <c r="C27" s="160"/>
      <c r="D27" s="160"/>
      <c r="E27" s="160"/>
      <c r="F27" s="149">
        <f>F28+F29+F30</f>
        <v>42.11</v>
      </c>
      <c r="G27" s="149">
        <f t="shared" si="3"/>
        <v>42.11</v>
      </c>
      <c r="H27" s="159"/>
      <c r="I27" s="193"/>
      <c r="J27" s="193"/>
      <c r="K27" s="194"/>
      <c r="N27" s="189"/>
    </row>
    <row r="28" s="139" customFormat="1" ht="25" customHeight="1" spans="1:14">
      <c r="A28" s="155">
        <v>5.1</v>
      </c>
      <c r="B28" s="155" t="s">
        <v>45</v>
      </c>
      <c r="C28" s="160"/>
      <c r="D28" s="160"/>
      <c r="E28" s="160"/>
      <c r="F28" s="153">
        <v>9.56</v>
      </c>
      <c r="G28" s="153">
        <f t="shared" si="3"/>
        <v>9.56</v>
      </c>
      <c r="H28" s="154" t="s">
        <v>46</v>
      </c>
      <c r="I28" s="191"/>
      <c r="J28" s="191"/>
      <c r="K28" s="192"/>
      <c r="N28" s="189"/>
    </row>
    <row r="29" s="139" customFormat="1" ht="25" customHeight="1" spans="1:14">
      <c r="A29" s="155">
        <v>5.3</v>
      </c>
      <c r="B29" s="156" t="s">
        <v>47</v>
      </c>
      <c r="C29" s="157"/>
      <c r="D29" s="157"/>
      <c r="E29" s="157"/>
      <c r="F29" s="153">
        <v>24.04</v>
      </c>
      <c r="G29" s="153">
        <f t="shared" si="3"/>
        <v>24.04</v>
      </c>
      <c r="H29" s="154" t="s">
        <v>46</v>
      </c>
      <c r="I29" s="191"/>
      <c r="J29" s="191"/>
      <c r="K29" s="192"/>
      <c r="N29" s="189"/>
    </row>
    <row r="30" s="139" customFormat="1" ht="25" customHeight="1" spans="1:14">
      <c r="A30" s="155">
        <v>5.4</v>
      </c>
      <c r="B30" s="156" t="s">
        <v>48</v>
      </c>
      <c r="C30" s="157"/>
      <c r="D30" s="157"/>
      <c r="E30" s="157"/>
      <c r="F30" s="166">
        <v>8.51</v>
      </c>
      <c r="G30" s="153">
        <f t="shared" si="3"/>
        <v>8.51</v>
      </c>
      <c r="H30" s="154" t="s">
        <v>46</v>
      </c>
      <c r="I30" s="191"/>
      <c r="J30" s="191"/>
      <c r="K30" s="192"/>
      <c r="N30" s="189"/>
    </row>
    <row r="31" s="139" customFormat="1" ht="25" customHeight="1" spans="1:14">
      <c r="A31" s="162">
        <v>6</v>
      </c>
      <c r="B31" s="167" t="s">
        <v>49</v>
      </c>
      <c r="C31" s="168"/>
      <c r="D31" s="168"/>
      <c r="E31" s="168"/>
      <c r="F31" s="164">
        <f>G5*0.003</f>
        <v>72.012643539</v>
      </c>
      <c r="G31" s="149">
        <f t="shared" si="3"/>
        <v>72.012643539</v>
      </c>
      <c r="H31" s="169"/>
      <c r="I31" s="195"/>
      <c r="J31" s="195"/>
      <c r="K31" s="196"/>
      <c r="N31" s="189"/>
    </row>
    <row r="32" s="139" customFormat="1" ht="25" customHeight="1" spans="1:14">
      <c r="A32" s="158">
        <v>7</v>
      </c>
      <c r="B32" s="165" t="s">
        <v>50</v>
      </c>
      <c r="C32" s="157"/>
      <c r="D32" s="157"/>
      <c r="E32" s="157"/>
      <c r="F32" s="149">
        <f>+施工图设计审查咨询!H7</f>
        <v>13.5521072565</v>
      </c>
      <c r="G32" s="149">
        <f t="shared" si="3"/>
        <v>13.5521072565</v>
      </c>
      <c r="H32" s="169"/>
      <c r="I32" s="195"/>
      <c r="J32" s="195"/>
      <c r="K32" s="196"/>
      <c r="N32" s="189"/>
    </row>
    <row r="33" s="139" customFormat="1" ht="25" customHeight="1" spans="1:14">
      <c r="A33" s="158">
        <v>8</v>
      </c>
      <c r="B33" s="165" t="s">
        <v>51</v>
      </c>
      <c r="C33" s="157"/>
      <c r="D33" s="157"/>
      <c r="E33" s="157"/>
      <c r="F33" s="149">
        <f>F34+F35</f>
        <v>66.504214513</v>
      </c>
      <c r="G33" s="144">
        <f t="shared" si="3"/>
        <v>66.504214513</v>
      </c>
      <c r="H33" s="169"/>
      <c r="I33" s="195"/>
      <c r="J33" s="195"/>
      <c r="K33" s="196"/>
      <c r="N33" s="189"/>
    </row>
    <row r="34" s="139" customFormat="1" ht="25" customHeight="1" spans="1:14">
      <c r="A34" s="155">
        <v>8.1</v>
      </c>
      <c r="B34" s="156" t="s">
        <v>52</v>
      </c>
      <c r="C34" s="157"/>
      <c r="D34" s="157"/>
      <c r="E34" s="157"/>
      <c r="F34" s="153">
        <f>+招标代理服务费!J9</f>
        <v>37.5521072565</v>
      </c>
      <c r="G34" s="145">
        <f t="shared" si="3"/>
        <v>37.5521072565</v>
      </c>
      <c r="H34" s="154" t="s">
        <v>53</v>
      </c>
      <c r="I34" s="191"/>
      <c r="J34" s="191"/>
      <c r="K34" s="192"/>
      <c r="N34" s="189"/>
    </row>
    <row r="35" s="139" customFormat="1" ht="25" customHeight="1" spans="1:14">
      <c r="A35" s="155">
        <v>8.2</v>
      </c>
      <c r="B35" s="156" t="s">
        <v>54</v>
      </c>
      <c r="C35" s="157"/>
      <c r="D35" s="157"/>
      <c r="E35" s="157"/>
      <c r="F35" s="153">
        <f>+招标代理服务费!I9</f>
        <v>28.9521072565</v>
      </c>
      <c r="G35" s="145">
        <f t="shared" si="3"/>
        <v>28.9521072565</v>
      </c>
      <c r="H35" s="154" t="s">
        <v>53</v>
      </c>
      <c r="I35" s="191"/>
      <c r="J35" s="191"/>
      <c r="K35" s="192"/>
      <c r="N35" s="189"/>
    </row>
    <row r="36" ht="25" customHeight="1" spans="1:11">
      <c r="A36" s="158">
        <v>9</v>
      </c>
      <c r="B36" s="158" t="s">
        <v>55</v>
      </c>
      <c r="C36" s="160"/>
      <c r="D36" s="160"/>
      <c r="E36" s="160"/>
      <c r="F36" s="149">
        <f>F37+F38+F39+F40</f>
        <v>383.735164539</v>
      </c>
      <c r="G36" s="144">
        <f t="shared" ref="G36:G44" si="4">F36</f>
        <v>383.735164539</v>
      </c>
      <c r="H36" s="169"/>
      <c r="I36" s="195"/>
      <c r="J36" s="195"/>
      <c r="K36" s="196"/>
    </row>
    <row r="37" ht="25" customHeight="1" spans="1:11">
      <c r="A37" s="155">
        <v>9.1</v>
      </c>
      <c r="B37" s="155" t="s">
        <v>56</v>
      </c>
      <c r="C37" s="160"/>
      <c r="D37" s="160"/>
      <c r="E37" s="160"/>
      <c r="F37" s="161">
        <f>200*0.28%+300*0.24%+1500*0.19%+(5000-2000)*0.16%+(10000-5000)*0.13%+(24004.21-10000)*0.06%</f>
        <v>23.832526</v>
      </c>
      <c r="G37" s="145">
        <f t="shared" si="4"/>
        <v>23.832526</v>
      </c>
      <c r="H37" s="154" t="s">
        <v>57</v>
      </c>
      <c r="I37" s="191"/>
      <c r="J37" s="191"/>
      <c r="K37" s="197"/>
    </row>
    <row r="38" ht="25" customHeight="1" spans="1:11">
      <c r="A38" s="155">
        <v>9.2</v>
      </c>
      <c r="B38" s="155" t="s">
        <v>58</v>
      </c>
      <c r="C38" s="160"/>
      <c r="D38" s="160"/>
      <c r="E38" s="160"/>
      <c r="F38" s="161">
        <f>200*1.2%+300*1.05%+1500*0.9%+(5000-2000)*0.75%+(10000-5000)*0.6%+(24004.21-10000)*0.45%</f>
        <v>134.568945</v>
      </c>
      <c r="G38" s="145">
        <f t="shared" si="4"/>
        <v>134.568945</v>
      </c>
      <c r="H38" s="154" t="s">
        <v>57</v>
      </c>
      <c r="I38" s="191"/>
      <c r="J38" s="191"/>
      <c r="K38" s="197"/>
    </row>
    <row r="39" ht="25" customHeight="1" spans="1:11">
      <c r="A39" s="155">
        <v>9.3</v>
      </c>
      <c r="B39" s="155" t="s">
        <v>59</v>
      </c>
      <c r="C39" s="160"/>
      <c r="D39" s="160"/>
      <c r="E39" s="160"/>
      <c r="F39" s="161">
        <f>200*1.8%+300*1.4%+1500*1.1%+(5000-2000)*0.8%+(10000-5000)*0.7%+(24004.21-10000)*0.5%</f>
        <v>153.32105</v>
      </c>
      <c r="G39" s="145">
        <f t="shared" si="4"/>
        <v>153.32105</v>
      </c>
      <c r="H39" s="154" t="s">
        <v>57</v>
      </c>
      <c r="I39" s="191"/>
      <c r="J39" s="191"/>
      <c r="K39" s="197"/>
    </row>
    <row r="40" ht="25" customHeight="1" spans="1:11">
      <c r="A40" s="155">
        <v>9.4</v>
      </c>
      <c r="B40" s="155" t="s">
        <v>60</v>
      </c>
      <c r="C40" s="157"/>
      <c r="D40" s="157"/>
      <c r="E40" s="157"/>
      <c r="F40" s="170">
        <f>G5*0.3%</f>
        <v>72.012643539</v>
      </c>
      <c r="G40" s="145">
        <f t="shared" si="4"/>
        <v>72.012643539</v>
      </c>
      <c r="H40" s="154" t="s">
        <v>57</v>
      </c>
      <c r="I40" s="191"/>
      <c r="J40" s="191"/>
      <c r="K40" s="197"/>
    </row>
    <row r="41" ht="25" customHeight="1" spans="1:11">
      <c r="A41" s="158">
        <v>10</v>
      </c>
      <c r="B41" s="158" t="s">
        <v>61</v>
      </c>
      <c r="C41" s="160"/>
      <c r="D41" s="160"/>
      <c r="E41" s="160"/>
      <c r="F41" s="171"/>
      <c r="G41" s="171">
        <v>0</v>
      </c>
      <c r="H41" s="169"/>
      <c r="I41" s="195"/>
      <c r="J41" s="195"/>
      <c r="K41" s="196"/>
    </row>
    <row r="42" ht="25" customHeight="1" spans="1:11">
      <c r="A42" s="172" t="s">
        <v>62</v>
      </c>
      <c r="B42" s="172" t="s">
        <v>63</v>
      </c>
      <c r="C42" s="173"/>
      <c r="D42" s="173"/>
      <c r="E42" s="173"/>
      <c r="F42" s="174"/>
      <c r="G42" s="164">
        <f>(G5+G18)*5%</f>
        <v>1306.07299044428</v>
      </c>
      <c r="H42" s="175"/>
      <c r="I42" s="198"/>
      <c r="J42" s="198"/>
      <c r="K42" s="199"/>
    </row>
    <row r="43" ht="25" customHeight="1" spans="1:11">
      <c r="A43" s="147" t="s">
        <v>64</v>
      </c>
      <c r="B43" s="147" t="s">
        <v>65</v>
      </c>
      <c r="C43" s="147"/>
      <c r="D43" s="147"/>
      <c r="E43" s="147"/>
      <c r="F43" s="176"/>
      <c r="G43" s="177">
        <f>G5+G18+G42</f>
        <v>27427.5327993298</v>
      </c>
      <c r="H43" s="178"/>
      <c r="I43" s="200"/>
      <c r="J43" s="200"/>
      <c r="K43" s="201"/>
    </row>
    <row r="44" spans="1:11">
      <c r="A44" s="136"/>
      <c r="B44" s="136"/>
      <c r="C44" s="136"/>
      <c r="D44" s="136"/>
      <c r="E44" s="136"/>
      <c r="F44" s="136"/>
      <c r="J44" s="136"/>
      <c r="K44" s="136"/>
    </row>
    <row r="45" spans="1:11">
      <c r="A45" s="136"/>
      <c r="B45" s="136"/>
      <c r="C45" s="136"/>
      <c r="D45" s="136"/>
      <c r="E45" s="136"/>
      <c r="F45" s="136"/>
      <c r="J45" s="136"/>
      <c r="K45" s="136"/>
    </row>
    <row r="46" spans="1:11">
      <c r="A46" s="136"/>
      <c r="B46" s="136"/>
      <c r="C46" s="136"/>
      <c r="D46" s="136"/>
      <c r="E46" s="136"/>
      <c r="F46" s="136"/>
      <c r="J46" s="136"/>
      <c r="K46" s="136"/>
    </row>
    <row r="47" spans="1:11">
      <c r="A47" s="136"/>
      <c r="B47" s="136"/>
      <c r="C47" s="136"/>
      <c r="D47" s="136"/>
      <c r="E47" s="136"/>
      <c r="F47" s="136"/>
      <c r="J47" s="136"/>
      <c r="K47" s="136"/>
    </row>
    <row r="48" spans="1:11">
      <c r="A48" s="136"/>
      <c r="B48" s="136"/>
      <c r="C48" s="136"/>
      <c r="D48" s="136"/>
      <c r="E48" s="136"/>
      <c r="F48" s="136"/>
      <c r="J48" s="136"/>
      <c r="K48" s="136"/>
    </row>
    <row r="49" spans="1:11">
      <c r="A49" s="136"/>
      <c r="B49" s="136"/>
      <c r="C49" s="136"/>
      <c r="D49" s="136"/>
      <c r="E49" s="136"/>
      <c r="F49" s="136"/>
      <c r="J49" s="136"/>
      <c r="K49" s="136"/>
    </row>
    <row r="50" spans="1:11">
      <c r="A50" s="136"/>
      <c r="B50" s="136"/>
      <c r="C50" s="136"/>
      <c r="D50" s="136"/>
      <c r="E50" s="136"/>
      <c r="F50" s="136"/>
      <c r="J50" s="136"/>
      <c r="K50" s="136"/>
    </row>
    <row r="51" spans="1:11">
      <c r="A51" s="136"/>
      <c r="B51" s="136"/>
      <c r="C51" s="136"/>
      <c r="D51" s="136"/>
      <c r="E51" s="136"/>
      <c r="F51" s="136"/>
      <c r="J51" s="136"/>
      <c r="K51" s="136"/>
    </row>
    <row r="52" spans="1:11">
      <c r="A52" s="136"/>
      <c r="B52" s="136"/>
      <c r="C52" s="136"/>
      <c r="D52" s="136"/>
      <c r="E52" s="136"/>
      <c r="F52" s="136"/>
      <c r="J52" s="136"/>
      <c r="K52" s="136"/>
    </row>
  </sheetData>
  <mergeCells count="29">
    <mergeCell ref="A1:K1"/>
    <mergeCell ref="A2:K2"/>
    <mergeCell ref="C3:G3"/>
    <mergeCell ref="H3:J3"/>
    <mergeCell ref="H20:K20"/>
    <mergeCell ref="H21:K21"/>
    <mergeCell ref="H22:K22"/>
    <mergeCell ref="H23:K23"/>
    <mergeCell ref="H24:K24"/>
    <mergeCell ref="H25:K25"/>
    <mergeCell ref="H26:K26"/>
    <mergeCell ref="H28:K28"/>
    <mergeCell ref="H29:K29"/>
    <mergeCell ref="H30:K30"/>
    <mergeCell ref="H31:K31"/>
    <mergeCell ref="H32:K32"/>
    <mergeCell ref="H34:K34"/>
    <mergeCell ref="H35:K35"/>
    <mergeCell ref="H36:K36"/>
    <mergeCell ref="H37:K37"/>
    <mergeCell ref="H38:K38"/>
    <mergeCell ref="H39:K39"/>
    <mergeCell ref="H40:K40"/>
    <mergeCell ref="H41:K41"/>
    <mergeCell ref="H42:K42"/>
    <mergeCell ref="H43:K43"/>
    <mergeCell ref="A3:A4"/>
    <mergeCell ref="B3:B4"/>
    <mergeCell ref="K3:K4"/>
  </mergeCells>
  <printOptions horizontalCentered="1"/>
  <pageMargins left="0.472222222222222" right="0.314583333333333" top="0.511805555555556" bottom="0.472222222222222" header="0.354166666666667" footer="0.236111111111111"/>
  <pageSetup paperSize="9" scale="78" orientation="portrait" horizontalDpi="600"/>
  <headerFooter/>
  <colBreaks count="1" manualBreakCount="1">
    <brk id="11" max="4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0"/>
  <sheetViews>
    <sheetView topLeftCell="B1" workbookViewId="0">
      <selection activeCell="F28" sqref="F28"/>
    </sheetView>
  </sheetViews>
  <sheetFormatPr defaultColWidth="9" defaultRowHeight="15.6"/>
  <cols>
    <col min="1" max="1" width="16" style="11" customWidth="1"/>
    <col min="2" max="2" width="13" style="11" customWidth="1"/>
    <col min="3" max="3" width="13.5" style="11" customWidth="1"/>
    <col min="4" max="4" width="11.1296296296296" style="11" customWidth="1"/>
    <col min="5" max="5" width="6.37962962962963" style="11" customWidth="1"/>
    <col min="6" max="7" width="16" style="11" customWidth="1"/>
    <col min="8" max="8" width="11.3796296296296" style="11" customWidth="1"/>
    <col min="9" max="9" width="12.6296296296296" style="11" customWidth="1"/>
    <col min="10" max="10" width="13" style="11" customWidth="1"/>
    <col min="11" max="16384" width="9" style="11"/>
  </cols>
  <sheetData>
    <row r="2" ht="20.4" spans="1:10">
      <c r="A2" s="3" t="s">
        <v>222</v>
      </c>
      <c r="B2" s="3"/>
      <c r="C2" s="3"/>
      <c r="D2" s="3"/>
      <c r="E2" s="4"/>
      <c r="F2" s="24" t="s">
        <v>223</v>
      </c>
      <c r="G2" s="24"/>
      <c r="H2" s="24"/>
      <c r="I2" s="24"/>
      <c r="J2" s="24"/>
    </row>
    <row r="3" ht="67.2" spans="1:10">
      <c r="A3" s="5" t="s">
        <v>224</v>
      </c>
      <c r="B3" s="6" t="s">
        <v>225</v>
      </c>
      <c r="C3" s="6" t="s">
        <v>54</v>
      </c>
      <c r="D3" s="6" t="s">
        <v>52</v>
      </c>
      <c r="E3" s="4"/>
      <c r="F3" s="5" t="s">
        <v>226</v>
      </c>
      <c r="G3" s="7" t="s">
        <v>227</v>
      </c>
      <c r="H3" s="6" t="s">
        <v>225</v>
      </c>
      <c r="I3" s="6" t="s">
        <v>54</v>
      </c>
      <c r="J3" s="6" t="s">
        <v>52</v>
      </c>
    </row>
    <row r="4" ht="19.2" spans="1:10">
      <c r="A4" s="6" t="s">
        <v>228</v>
      </c>
      <c r="B4" s="8">
        <v>0.015</v>
      </c>
      <c r="C4" s="8">
        <v>0.015</v>
      </c>
      <c r="D4" s="8">
        <v>0.01</v>
      </c>
      <c r="E4" s="4"/>
      <c r="F4" s="6" t="s">
        <v>228</v>
      </c>
      <c r="G4" s="9"/>
      <c r="H4" s="10">
        <f>G4*1.5%</f>
        <v>0</v>
      </c>
      <c r="I4" s="10">
        <f>G4*1.5%</f>
        <v>0</v>
      </c>
      <c r="J4" s="10">
        <f>G4*1%</f>
        <v>0</v>
      </c>
    </row>
    <row r="5" ht="19.2" spans="1:10">
      <c r="A5" s="6" t="s">
        <v>229</v>
      </c>
      <c r="B5" s="8">
        <v>0.011</v>
      </c>
      <c r="C5" s="8">
        <v>0.008</v>
      </c>
      <c r="D5" s="8">
        <v>0.007</v>
      </c>
      <c r="E5" s="4"/>
      <c r="F5" s="6" t="s">
        <v>229</v>
      </c>
      <c r="G5" s="9"/>
      <c r="H5" s="10">
        <f>100*1.5%+(G5-100)*1.1%</f>
        <v>0.4</v>
      </c>
      <c r="I5" s="10">
        <f>100*1.5%+(G5-100)*0.8%</f>
        <v>0.7</v>
      </c>
      <c r="J5" s="10">
        <f>100*1%+(G5-100)*0.7%</f>
        <v>0.3</v>
      </c>
    </row>
    <row r="6" ht="19.2" spans="1:10">
      <c r="A6" s="6" t="s">
        <v>146</v>
      </c>
      <c r="B6" s="8">
        <v>0.008</v>
      </c>
      <c r="C6" s="8">
        <v>0.0045</v>
      </c>
      <c r="D6" s="8">
        <v>0.0055</v>
      </c>
      <c r="E6" s="4"/>
      <c r="F6" s="6" t="s">
        <v>146</v>
      </c>
      <c r="G6" s="9"/>
      <c r="H6" s="10">
        <f>100*1.5%+400*1.1%+(G6-500)*0.8%</f>
        <v>1.9</v>
      </c>
      <c r="I6" s="10">
        <f>100*1.5%+400*0.8%+(G6-500)*0.45%</f>
        <v>2.45</v>
      </c>
      <c r="J6" s="10">
        <f>100*1.5%+400*0.7%+(G6-500)*0.55%</f>
        <v>1.55</v>
      </c>
    </row>
    <row r="7" ht="19.2" spans="1:10">
      <c r="A7" s="6" t="s">
        <v>230</v>
      </c>
      <c r="B7" s="8">
        <v>0.005</v>
      </c>
      <c r="C7" s="8">
        <v>0.0025</v>
      </c>
      <c r="D7" s="8">
        <v>0.0035</v>
      </c>
      <c r="E7" s="4"/>
      <c r="F7" s="6" t="s">
        <v>230</v>
      </c>
      <c r="G7" s="9"/>
      <c r="H7" s="10">
        <f>100*1.5%+400*1.1%+500*0.8%+(G7-1000)*0.5%</f>
        <v>4.9</v>
      </c>
      <c r="I7" s="10">
        <f>100*1.5%+400*0.8%+500*0.45%+(G7-1000)*0.25%</f>
        <v>4.45</v>
      </c>
      <c r="J7" s="10">
        <f>100*1%+400*0.7%+500*0.55%+(G7-1000)*0.35%</f>
        <v>3.05</v>
      </c>
    </row>
    <row r="8" ht="19.2" spans="1:10">
      <c r="A8" s="6" t="s">
        <v>231</v>
      </c>
      <c r="B8" s="8">
        <v>0.0025</v>
      </c>
      <c r="C8" s="8">
        <v>0.001</v>
      </c>
      <c r="D8" s="8">
        <v>0.002</v>
      </c>
      <c r="E8" s="4"/>
      <c r="F8" s="6" t="s">
        <v>231</v>
      </c>
      <c r="G8" s="9"/>
      <c r="H8" s="10">
        <f>100*1.5%+400*1.1%+500*0.8%+4000*0.5%+(G8-5000)*0.25%</f>
        <v>17.4</v>
      </c>
      <c r="I8" s="10">
        <f>100*1.5%+400*0.8%+500*0.45%+4000*0.25%+(G8-5000)*0.1%</f>
        <v>11.95</v>
      </c>
      <c r="J8" s="10">
        <f>100*1%+400*0.7%+500*0.55%+4000*0.35%+(G8-5000)*0.2%</f>
        <v>10.55</v>
      </c>
    </row>
    <row r="9" ht="19.2" spans="1:10">
      <c r="A9" s="6" t="s">
        <v>232</v>
      </c>
      <c r="B9" s="8">
        <v>0.0005</v>
      </c>
      <c r="C9" s="8">
        <v>0.0005</v>
      </c>
      <c r="D9" s="8">
        <v>0.0005</v>
      </c>
      <c r="E9" s="4"/>
      <c r="F9" s="6" t="s">
        <v>232</v>
      </c>
      <c r="G9" s="9">
        <f>+清单!G5</f>
        <v>24004.214513</v>
      </c>
      <c r="H9" s="10">
        <f>100*1.5%+400*1.1%+500*0.8%+4000*0.5%+5000*0.25%+(G9-10000)*0.05%</f>
        <v>49.4021072565</v>
      </c>
      <c r="I9" s="10">
        <f>100*1.5%+400*0.8%+500*0.45%+4000*0.25%+5000*0.1%+(G9-10000)*0.05%</f>
        <v>28.9521072565</v>
      </c>
      <c r="J9" s="10">
        <f>100*1%+400*0.7%+500*0.55%+4000*0.35%+5000*0.2%+(G9-10000)*0.05%</f>
        <v>37.5521072565</v>
      </c>
    </row>
    <row r="10" ht="19.2" spans="1:10">
      <c r="A10" s="6" t="s">
        <v>233</v>
      </c>
      <c r="B10" s="8">
        <v>0.0001</v>
      </c>
      <c r="C10" s="8">
        <v>0.0001</v>
      </c>
      <c r="D10" s="8">
        <v>0.0001</v>
      </c>
      <c r="E10" s="4"/>
      <c r="F10" s="6" t="s">
        <v>233</v>
      </c>
      <c r="G10" s="9"/>
      <c r="H10" s="8"/>
      <c r="I10" s="8"/>
      <c r="J10" s="8"/>
    </row>
  </sheetData>
  <mergeCells count="2">
    <mergeCell ref="A2:D2"/>
    <mergeCell ref="F2:J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opLeftCell="A13" workbookViewId="0">
      <selection activeCell="F28" sqref="F28"/>
    </sheetView>
  </sheetViews>
  <sheetFormatPr defaultColWidth="9" defaultRowHeight="14.4" outlineLevelCol="7"/>
  <cols>
    <col min="1" max="4" width="9" style="12"/>
    <col min="5" max="5" width="16.6296296296296" style="12" customWidth="1"/>
    <col min="6" max="6" width="16.1296296296296" style="12" customWidth="1"/>
    <col min="7" max="7" width="17.6296296296296" style="12" customWidth="1"/>
    <col min="8" max="8" width="31.3796296296296" style="12" customWidth="1"/>
    <col min="9" max="9" width="12.6296296296296" style="12"/>
    <col min="10" max="16384" width="9" style="12"/>
  </cols>
  <sheetData>
    <row r="1" ht="42" customHeight="1" spans="2:7">
      <c r="B1" s="13" t="s">
        <v>234</v>
      </c>
      <c r="C1" s="14"/>
      <c r="D1" s="14"/>
      <c r="E1" s="14"/>
      <c r="F1" s="14"/>
      <c r="G1" s="15"/>
    </row>
    <row r="2" ht="23" customHeight="1" spans="1:7">
      <c r="A2" s="16" t="s">
        <v>235</v>
      </c>
      <c r="B2" s="17" t="s">
        <v>122</v>
      </c>
      <c r="C2" s="16" t="s">
        <v>236</v>
      </c>
      <c r="D2" s="17"/>
      <c r="E2" s="18" t="s">
        <v>122</v>
      </c>
      <c r="F2" s="18"/>
      <c r="G2" s="18" t="s">
        <v>124</v>
      </c>
    </row>
    <row r="3" ht="23" customHeight="1" spans="1:7">
      <c r="A3" s="16"/>
      <c r="B3" s="17"/>
      <c r="C3" s="16"/>
      <c r="D3" s="17"/>
      <c r="E3" s="18" t="s">
        <v>125</v>
      </c>
      <c r="F3" s="18" t="s">
        <v>126</v>
      </c>
      <c r="G3" s="18"/>
    </row>
    <row r="4" ht="23" customHeight="1" spans="1:7">
      <c r="A4" s="16"/>
      <c r="B4" s="17">
        <v>0</v>
      </c>
      <c r="C4" s="17">
        <v>5</v>
      </c>
      <c r="D4" s="17"/>
      <c r="E4" s="19" t="s">
        <v>237</v>
      </c>
      <c r="F4" s="20">
        <v>500</v>
      </c>
      <c r="G4" s="21">
        <f t="shared" ref="G4:G9" si="0">C4+(C5-C4)/(B5-B4)*(F4-B4)</f>
        <v>5.16666666666667</v>
      </c>
    </row>
    <row r="5" ht="23" customHeight="1" spans="1:7">
      <c r="A5" s="16"/>
      <c r="B5" s="17">
        <v>3000</v>
      </c>
      <c r="C5" s="17">
        <v>6</v>
      </c>
      <c r="D5" s="17"/>
      <c r="E5" s="19" t="s">
        <v>238</v>
      </c>
      <c r="F5" s="20">
        <v>13226.66</v>
      </c>
      <c r="G5" s="21">
        <f t="shared" si="0"/>
        <v>11.4141141176471</v>
      </c>
    </row>
    <row r="6" ht="23" customHeight="1" spans="1:7">
      <c r="A6" s="16"/>
      <c r="B6" s="17">
        <v>20000</v>
      </c>
      <c r="C6" s="17">
        <v>15</v>
      </c>
      <c r="D6" s="17"/>
      <c r="E6" s="19" t="s">
        <v>239</v>
      </c>
      <c r="F6" s="20"/>
      <c r="G6" s="21">
        <f t="shared" si="0"/>
        <v>10</v>
      </c>
    </row>
    <row r="7" ht="23" customHeight="1" spans="1:7">
      <c r="A7" s="16"/>
      <c r="B7" s="17">
        <v>100000</v>
      </c>
      <c r="C7" s="22">
        <v>35</v>
      </c>
      <c r="D7" s="17"/>
      <c r="E7" s="19" t="s">
        <v>133</v>
      </c>
      <c r="F7" s="20"/>
      <c r="G7" s="21">
        <f t="shared" si="0"/>
        <v>25</v>
      </c>
    </row>
    <row r="8" ht="23" customHeight="1" spans="1:7">
      <c r="A8" s="16"/>
      <c r="B8" s="17">
        <v>500000</v>
      </c>
      <c r="C8" s="17">
        <v>75</v>
      </c>
      <c r="D8" s="17"/>
      <c r="E8" s="19" t="s">
        <v>134</v>
      </c>
      <c r="F8" s="20"/>
      <c r="G8" s="21">
        <f t="shared" si="0"/>
        <v>40</v>
      </c>
    </row>
    <row r="9" ht="23" customHeight="1" spans="1:7">
      <c r="A9" s="16"/>
      <c r="B9" s="17">
        <v>1000000</v>
      </c>
      <c r="C9" s="17">
        <v>110</v>
      </c>
      <c r="D9" s="17"/>
      <c r="E9" s="19" t="s">
        <v>159</v>
      </c>
      <c r="F9" s="20"/>
      <c r="G9" s="21">
        <f t="shared" si="0"/>
        <v>110</v>
      </c>
    </row>
    <row r="10" ht="23" customHeight="1" spans="1:8">
      <c r="A10" s="16"/>
      <c r="B10" s="23">
        <v>2000000</v>
      </c>
      <c r="C10" s="17">
        <v>110</v>
      </c>
      <c r="D10" s="17"/>
      <c r="E10" s="19"/>
      <c r="F10" s="20"/>
      <c r="G10" s="21"/>
      <c r="H10" s="12" t="s">
        <v>240</v>
      </c>
    </row>
    <row r="11" ht="23" customHeight="1"/>
    <row r="12" ht="15.15"/>
    <row r="13" ht="44" customHeight="1" spans="2:7">
      <c r="B13" s="13" t="s">
        <v>241</v>
      </c>
      <c r="C13" s="14"/>
      <c r="D13" s="14"/>
      <c r="E13" s="14"/>
      <c r="F13" s="14"/>
      <c r="G13" s="15"/>
    </row>
    <row r="14" spans="1:7">
      <c r="A14" s="16" t="s">
        <v>242</v>
      </c>
      <c r="B14" s="17" t="s">
        <v>122</v>
      </c>
      <c r="C14" s="16" t="s">
        <v>236</v>
      </c>
      <c r="D14" s="17"/>
      <c r="E14" s="18" t="s">
        <v>122</v>
      </c>
      <c r="F14" s="18"/>
      <c r="G14" s="18" t="s">
        <v>124</v>
      </c>
    </row>
    <row r="15" spans="1:7">
      <c r="A15" s="16"/>
      <c r="B15" s="17"/>
      <c r="C15" s="16"/>
      <c r="D15" s="17"/>
      <c r="E15" s="18" t="s">
        <v>125</v>
      </c>
      <c r="F15" s="18" t="s">
        <v>126</v>
      </c>
      <c r="G15" s="18"/>
    </row>
    <row r="16" spans="1:7">
      <c r="A16" s="16"/>
      <c r="B16" s="17">
        <v>0</v>
      </c>
      <c r="C16" s="17">
        <v>0.8</v>
      </c>
      <c r="D16" s="17"/>
      <c r="E16" s="19" t="s">
        <v>237</v>
      </c>
      <c r="F16" s="20"/>
      <c r="G16" s="21">
        <f t="shared" ref="G16:G21" si="1">C16+(C17-C16)/(B17-B16)*(F16-B16)</f>
        <v>0.8</v>
      </c>
    </row>
    <row r="17" spans="1:7">
      <c r="A17" s="16"/>
      <c r="B17" s="17">
        <v>3000</v>
      </c>
      <c r="C17" s="17">
        <v>1.5</v>
      </c>
      <c r="D17" s="17"/>
      <c r="E17" s="19" t="s">
        <v>238</v>
      </c>
      <c r="F17" s="20"/>
      <c r="G17" s="21">
        <f t="shared" si="1"/>
        <v>1.23529411764706</v>
      </c>
    </row>
    <row r="18" spans="1:7">
      <c r="A18" s="16"/>
      <c r="B18" s="17">
        <v>20000</v>
      </c>
      <c r="C18" s="17">
        <v>3</v>
      </c>
      <c r="D18" s="17"/>
      <c r="E18" s="19" t="s">
        <v>239</v>
      </c>
      <c r="F18" s="20">
        <f>+清单!G5</f>
        <v>24004.214513</v>
      </c>
      <c r="G18" s="21">
        <f t="shared" si="1"/>
        <v>3.20021072565</v>
      </c>
    </row>
    <row r="19" spans="1:7">
      <c r="A19" s="16"/>
      <c r="B19" s="17">
        <v>100000</v>
      </c>
      <c r="C19" s="22">
        <v>7</v>
      </c>
      <c r="D19" s="17"/>
      <c r="E19" s="19" t="s">
        <v>133</v>
      </c>
      <c r="F19" s="20"/>
      <c r="G19" s="21">
        <f t="shared" si="1"/>
        <v>6.5</v>
      </c>
    </row>
    <row r="20" spans="1:7">
      <c r="A20" s="16"/>
      <c r="B20" s="17">
        <v>500000</v>
      </c>
      <c r="C20" s="17">
        <v>9</v>
      </c>
      <c r="D20" s="17"/>
      <c r="E20" s="19" t="s">
        <v>134</v>
      </c>
      <c r="F20" s="20"/>
      <c r="G20" s="21">
        <f t="shared" si="1"/>
        <v>5</v>
      </c>
    </row>
    <row r="21" spans="1:7">
      <c r="A21" s="16"/>
      <c r="B21" s="17">
        <v>1000000</v>
      </c>
      <c r="C21" s="17">
        <v>13</v>
      </c>
      <c r="D21" s="17"/>
      <c r="E21" s="19" t="s">
        <v>159</v>
      </c>
      <c r="F21" s="20"/>
      <c r="G21" s="21">
        <f t="shared" si="1"/>
        <v>13</v>
      </c>
    </row>
    <row r="22" ht="15.15" spans="1:8">
      <c r="A22" s="16"/>
      <c r="B22" s="23">
        <v>2000000</v>
      </c>
      <c r="C22" s="17">
        <v>13</v>
      </c>
      <c r="D22" s="17"/>
      <c r="E22" s="19"/>
      <c r="F22" s="20"/>
      <c r="G22" s="21"/>
      <c r="H22" s="12" t="s">
        <v>240</v>
      </c>
    </row>
    <row r="23" ht="20.4" spans="2:7">
      <c r="B23" s="13" t="s">
        <v>241</v>
      </c>
      <c r="C23" s="14"/>
      <c r="D23" s="14"/>
      <c r="E23" s="14"/>
      <c r="F23" s="14"/>
      <c r="G23" s="15"/>
    </row>
    <row r="24" spans="1:7">
      <c r="A24" s="16" t="s">
        <v>243</v>
      </c>
      <c r="B24" s="17" t="s">
        <v>122</v>
      </c>
      <c r="C24" s="16" t="s">
        <v>236</v>
      </c>
      <c r="D24" s="17"/>
      <c r="E24" s="18" t="s">
        <v>122</v>
      </c>
      <c r="F24" s="18"/>
      <c r="G24" s="18" t="s">
        <v>124</v>
      </c>
    </row>
    <row r="25" spans="1:7">
      <c r="A25" s="16"/>
      <c r="B25" s="17"/>
      <c r="C25" s="16"/>
      <c r="D25" s="17"/>
      <c r="E25" s="18" t="s">
        <v>125</v>
      </c>
      <c r="F25" s="18" t="s">
        <v>126</v>
      </c>
      <c r="G25" s="18"/>
    </row>
    <row r="26" spans="1:7">
      <c r="A26" s="16"/>
      <c r="B26" s="17">
        <v>0</v>
      </c>
      <c r="C26" s="17">
        <v>0.5</v>
      </c>
      <c r="D26" s="17"/>
      <c r="E26" s="19" t="s">
        <v>237</v>
      </c>
      <c r="F26" s="20"/>
      <c r="G26" s="21">
        <f t="shared" ref="G26:G31" si="2">C26+(C27-C26)/(B27-B26)*(F26-B26)</f>
        <v>0.5</v>
      </c>
    </row>
    <row r="27" spans="1:7">
      <c r="A27" s="16"/>
      <c r="B27" s="17">
        <v>3000</v>
      </c>
      <c r="C27" s="17">
        <v>0.8</v>
      </c>
      <c r="D27" s="17"/>
      <c r="E27" s="19" t="s">
        <v>238</v>
      </c>
      <c r="F27" s="20"/>
      <c r="G27" s="21">
        <f t="shared" si="2"/>
        <v>0.676470588235294</v>
      </c>
    </row>
    <row r="28" spans="1:7">
      <c r="A28" s="16"/>
      <c r="B28" s="17">
        <v>20000</v>
      </c>
      <c r="C28" s="17">
        <v>1.5</v>
      </c>
      <c r="D28" s="17"/>
      <c r="E28" s="19" t="s">
        <v>239</v>
      </c>
      <c r="F28" s="20"/>
      <c r="G28" s="21">
        <f t="shared" si="2"/>
        <v>1.375</v>
      </c>
    </row>
    <row r="29" spans="1:7">
      <c r="A29" s="16"/>
      <c r="B29" s="17">
        <v>100000</v>
      </c>
      <c r="C29" s="22">
        <v>2</v>
      </c>
      <c r="D29" s="17"/>
      <c r="E29" s="19" t="s">
        <v>133</v>
      </c>
      <c r="F29" s="20"/>
      <c r="G29" s="21">
        <f t="shared" si="2"/>
        <v>2</v>
      </c>
    </row>
    <row r="30" spans="1:7">
      <c r="A30" s="16"/>
      <c r="B30" s="17">
        <v>500000</v>
      </c>
      <c r="C30" s="17">
        <v>2</v>
      </c>
      <c r="D30" s="17"/>
      <c r="E30" s="19" t="s">
        <v>134</v>
      </c>
      <c r="F30" s="20"/>
      <c r="G30" s="21">
        <f t="shared" si="2"/>
        <v>2</v>
      </c>
    </row>
    <row r="31" spans="1:7">
      <c r="A31" s="16"/>
      <c r="B31" s="17">
        <v>1000000</v>
      </c>
      <c r="C31" s="17">
        <v>2</v>
      </c>
      <c r="D31" s="17"/>
      <c r="E31" s="19" t="s">
        <v>159</v>
      </c>
      <c r="F31" s="20"/>
      <c r="G31" s="21">
        <f t="shared" si="2"/>
        <v>2</v>
      </c>
    </row>
    <row r="32" spans="1:7">
      <c r="A32" s="16"/>
      <c r="B32" s="23">
        <v>2000000</v>
      </c>
      <c r="C32" s="17">
        <v>2</v>
      </c>
      <c r="D32" s="17"/>
      <c r="E32" s="19"/>
      <c r="F32" s="20"/>
      <c r="G32" s="21"/>
    </row>
  </sheetData>
  <mergeCells count="21">
    <mergeCell ref="B1:G1"/>
    <mergeCell ref="E2:F2"/>
    <mergeCell ref="B13:G13"/>
    <mergeCell ref="E14:F14"/>
    <mergeCell ref="B23:G23"/>
    <mergeCell ref="E24:F24"/>
    <mergeCell ref="A2:A10"/>
    <mergeCell ref="A14:A22"/>
    <mergeCell ref="A24:A32"/>
    <mergeCell ref="B2:B3"/>
    <mergeCell ref="B14:B15"/>
    <mergeCell ref="B24:B25"/>
    <mergeCell ref="C2:C3"/>
    <mergeCell ref="C14:C15"/>
    <mergeCell ref="C24:C25"/>
    <mergeCell ref="D2:D10"/>
    <mergeCell ref="D14:D22"/>
    <mergeCell ref="D24:D32"/>
    <mergeCell ref="G2:G3"/>
    <mergeCell ref="G14:G15"/>
    <mergeCell ref="G24:G25"/>
  </mergeCells>
  <pageMargins left="0.7" right="0.7" top="0.75" bottom="0.75" header="0.3" footer="0.3"/>
  <pageSetup paperSize="9" orientation="portrait" horizontalDpi="200" verticalDpi="300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8"/>
  <sheetViews>
    <sheetView workbookViewId="0">
      <selection activeCell="F28" sqref="F28"/>
    </sheetView>
  </sheetViews>
  <sheetFormatPr defaultColWidth="9" defaultRowHeight="15.6" outlineLevelRow="7" outlineLevelCol="7"/>
  <cols>
    <col min="1" max="1" width="13.25" style="1" customWidth="1"/>
    <col min="2" max="3" width="17" style="1" customWidth="1"/>
    <col min="4" max="4" width="9" style="1"/>
    <col min="5" max="5" width="14.5" style="1" customWidth="1"/>
    <col min="6" max="6" width="14.75" style="1" customWidth="1"/>
    <col min="7" max="16384" width="9" style="1"/>
  </cols>
  <sheetData>
    <row r="2" ht="58" customHeight="1" spans="1:8">
      <c r="A2" s="2" t="s">
        <v>244</v>
      </c>
      <c r="B2" s="3"/>
      <c r="C2" s="3"/>
      <c r="D2" s="4"/>
      <c r="E2" s="2" t="s">
        <v>245</v>
      </c>
      <c r="F2" s="3"/>
      <c r="G2" s="3"/>
      <c r="H2" s="3"/>
    </row>
    <row r="3" ht="67.2" spans="1:8">
      <c r="A3" s="5" t="s">
        <v>224</v>
      </c>
      <c r="B3" s="6" t="s">
        <v>246</v>
      </c>
      <c r="C3" s="6" t="s">
        <v>247</v>
      </c>
      <c r="D3" s="4"/>
      <c r="E3" s="5" t="s">
        <v>226</v>
      </c>
      <c r="F3" s="7" t="s">
        <v>227</v>
      </c>
      <c r="G3" s="5" t="s">
        <v>246</v>
      </c>
      <c r="H3" s="5" t="s">
        <v>247</v>
      </c>
    </row>
    <row r="4" ht="19.2" spans="1:8">
      <c r="A4" s="6" t="s">
        <v>248</v>
      </c>
      <c r="B4" s="8" t="s">
        <v>249</v>
      </c>
      <c r="C4" s="8" t="s">
        <v>250</v>
      </c>
      <c r="D4" s="4"/>
      <c r="E4" s="6" t="s">
        <v>248</v>
      </c>
      <c r="F4" s="9"/>
      <c r="G4" s="10">
        <f>F4*0.5/1000</f>
        <v>0</v>
      </c>
      <c r="H4" s="10">
        <f>F4*1.2/1000</f>
        <v>0</v>
      </c>
    </row>
    <row r="5" ht="19.2" spans="1:8">
      <c r="A5" s="6" t="s">
        <v>251</v>
      </c>
      <c r="B5" s="8" t="s">
        <v>252</v>
      </c>
      <c r="C5" s="8" t="s">
        <v>253</v>
      </c>
      <c r="D5" s="4"/>
      <c r="E5" s="6" t="s">
        <v>251</v>
      </c>
      <c r="F5" s="9"/>
      <c r="G5" s="10">
        <f>500*0.5/1000+(F5-500)*0.4/1000</f>
        <v>0.05</v>
      </c>
      <c r="H5" s="10">
        <f>500*1.2/1000+(F5-500)*0.9/1000</f>
        <v>0.15</v>
      </c>
    </row>
    <row r="6" ht="19.2" spans="1:8">
      <c r="A6" s="6" t="s">
        <v>254</v>
      </c>
      <c r="B6" s="8" t="s">
        <v>255</v>
      </c>
      <c r="C6" s="8" t="s">
        <v>256</v>
      </c>
      <c r="D6" s="4"/>
      <c r="E6" s="6" t="s">
        <v>254</v>
      </c>
      <c r="F6" s="9"/>
      <c r="G6" s="10">
        <f>500*0.5/1000+(2000-500)*0.4/1000+(F6-2000)*0.3/1000</f>
        <v>0.25</v>
      </c>
      <c r="H6" s="10">
        <f>500*1.2/1000+(2000-500)*0.9/1000+(F6-2000)*0.7/1000</f>
        <v>0.55</v>
      </c>
    </row>
    <row r="7" ht="19.2" spans="1:8">
      <c r="A7" s="6" t="s">
        <v>257</v>
      </c>
      <c r="B7" s="8" t="s">
        <v>258</v>
      </c>
      <c r="C7" s="8" t="s">
        <v>249</v>
      </c>
      <c r="D7" s="4"/>
      <c r="E7" s="6" t="s">
        <v>257</v>
      </c>
      <c r="F7" s="9">
        <f>+清单!G5</f>
        <v>24004.214513</v>
      </c>
      <c r="G7" s="10">
        <f>500*0.5/1000+(2000-500)*0.4/1000+(5000-2000)*0.3/1000+(F7-5000)*0.2/1000</f>
        <v>5.5508429026</v>
      </c>
      <c r="H7" s="10">
        <f>500*1.2/1000+(2000-500)*0.9/1000+(5000-2000)*0.7/1000+(F7-5000)*0.5/1000</f>
        <v>13.5521072565</v>
      </c>
    </row>
    <row r="8" spans="1:8">
      <c r="A8" s="11"/>
      <c r="B8" s="11"/>
      <c r="C8" s="11"/>
      <c r="D8" s="11"/>
      <c r="E8" s="11"/>
      <c r="F8" s="11"/>
      <c r="G8" s="11"/>
      <c r="H8" s="11"/>
    </row>
  </sheetData>
  <mergeCells count="2">
    <mergeCell ref="A2:C2"/>
    <mergeCell ref="E2:H2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8" sqref="F28"/>
    </sheetView>
  </sheetViews>
  <sheetFormatPr defaultColWidth="9" defaultRowHeight="15.6"/>
  <cols>
    <col min="1" max="16384" width="9" style="1"/>
  </cols>
  <sheetData/>
  <pageMargins left="0.75" right="0.75" top="1" bottom="1" header="0.5" footer="0.5"/>
  <pageSetup paperSize="9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5"/>
  <sheetViews>
    <sheetView workbookViewId="0">
      <selection activeCell="F28" sqref="F28"/>
    </sheetView>
  </sheetViews>
  <sheetFormatPr defaultColWidth="8.7962962962963" defaultRowHeight="15.6" outlineLevelRow="4" outlineLevelCol="2"/>
  <cols>
    <col min="1" max="2" width="8.7962962962963" style="1"/>
    <col min="3" max="3" width="19.7962962962963" style="1" customWidth="1"/>
    <col min="4" max="16384" width="8.7962962962963" style="1"/>
  </cols>
  <sheetData>
    <row r="1" spans="3:3">
      <c r="C1" s="1" t="s">
        <v>95</v>
      </c>
    </row>
    <row r="2" spans="2:2">
      <c r="B2" s="1" t="s">
        <v>259</v>
      </c>
    </row>
    <row r="3" spans="2:3">
      <c r="B3" s="1" t="s">
        <v>260</v>
      </c>
      <c r="C3" s="1" t="s">
        <v>261</v>
      </c>
    </row>
    <row r="4" spans="2:3">
      <c r="B4" s="1" t="s">
        <v>262</v>
      </c>
      <c r="C4" s="1" t="s">
        <v>263</v>
      </c>
    </row>
    <row r="5" spans="2:3">
      <c r="B5" s="1" t="s">
        <v>8</v>
      </c>
      <c r="C5" s="1" t="s">
        <v>263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C2"/>
  <sheetViews>
    <sheetView workbookViewId="0">
      <selection activeCell="F28" sqref="F28"/>
    </sheetView>
  </sheetViews>
  <sheetFormatPr defaultColWidth="8.7962962962963" defaultRowHeight="15.6" outlineLevelRow="1" outlineLevelCol="2"/>
  <cols>
    <col min="1" max="1" width="8.7962962962963" style="1"/>
    <col min="2" max="2" width="15.5" style="1" customWidth="1"/>
    <col min="3" max="3" width="32.7962962962963" style="1" customWidth="1"/>
    <col min="4" max="16384" width="8.7962962962963" style="1"/>
  </cols>
  <sheetData>
    <row r="2" spans="2:3">
      <c r="B2" s="1" t="s">
        <v>264</v>
      </c>
      <c r="C2" s="1" t="s">
        <v>265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F28" sqref="F28"/>
    </sheetView>
  </sheetViews>
  <sheetFormatPr defaultColWidth="9" defaultRowHeight="15.6" outlineLevelCol="4"/>
  <cols>
    <col min="1" max="1" width="9" style="121"/>
    <col min="2" max="3" width="29.1296296296296" style="121" customWidth="1"/>
    <col min="4" max="4" width="42.8796296296296" style="121" customWidth="1"/>
    <col min="5" max="5" width="22" style="121" customWidth="1"/>
    <col min="6" max="16384" width="9" style="121"/>
  </cols>
  <sheetData>
    <row r="1" ht="27" customHeight="1" spans="1:5">
      <c r="A1" s="122" t="s">
        <v>66</v>
      </c>
      <c r="B1" s="122"/>
      <c r="C1" s="122"/>
      <c r="D1" s="122"/>
      <c r="E1" s="122"/>
    </row>
    <row r="2" ht="37" customHeight="1" spans="1:5">
      <c r="A2" s="125"/>
      <c r="B2" s="125"/>
      <c r="C2" s="125" t="s">
        <v>67</v>
      </c>
      <c r="D2" s="125" t="s">
        <v>68</v>
      </c>
      <c r="E2" s="125" t="s">
        <v>6</v>
      </c>
    </row>
    <row r="3" ht="27" customHeight="1" spans="1:5">
      <c r="A3" s="134">
        <v>1</v>
      </c>
      <c r="B3" s="134" t="s">
        <v>34</v>
      </c>
      <c r="C3" s="125"/>
      <c r="D3" s="125" t="s">
        <v>69</v>
      </c>
      <c r="E3" s="133" t="s">
        <v>70</v>
      </c>
    </row>
    <row r="4" ht="27" customHeight="1" spans="1:5">
      <c r="A4" s="134">
        <v>2</v>
      </c>
      <c r="B4" s="134" t="s">
        <v>71</v>
      </c>
      <c r="C4" s="125"/>
      <c r="D4" s="125" t="s">
        <v>72</v>
      </c>
      <c r="E4" s="125" t="s">
        <v>73</v>
      </c>
    </row>
    <row r="5" ht="49" customHeight="1" spans="1:5">
      <c r="A5" s="134">
        <v>3</v>
      </c>
      <c r="B5" s="134" t="s">
        <v>74</v>
      </c>
      <c r="C5" s="125" t="s">
        <v>75</v>
      </c>
      <c r="D5" s="125"/>
      <c r="E5" s="133" t="s">
        <v>76</v>
      </c>
    </row>
    <row r="6" ht="38" customHeight="1" spans="1:5">
      <c r="A6" s="125">
        <v>3.1</v>
      </c>
      <c r="B6" s="125" t="s">
        <v>77</v>
      </c>
      <c r="C6" s="125"/>
      <c r="D6" s="125" t="s">
        <v>78</v>
      </c>
      <c r="E6" s="125" t="s">
        <v>79</v>
      </c>
    </row>
    <row r="7" ht="38" customHeight="1" spans="1:5">
      <c r="A7" s="125">
        <v>3.2</v>
      </c>
      <c r="B7" s="125" t="s">
        <v>80</v>
      </c>
      <c r="C7" s="125"/>
      <c r="D7" s="125" t="s">
        <v>81</v>
      </c>
      <c r="E7" s="125" t="s">
        <v>82</v>
      </c>
    </row>
    <row r="8" ht="52" customHeight="1" spans="1:5">
      <c r="A8" s="125">
        <v>3.3</v>
      </c>
      <c r="B8" s="125" t="s">
        <v>83</v>
      </c>
      <c r="C8" s="133" t="s">
        <v>84</v>
      </c>
      <c r="D8" s="125" t="s">
        <v>69</v>
      </c>
      <c r="E8" s="133" t="s">
        <v>85</v>
      </c>
    </row>
    <row r="9" ht="24" customHeight="1" spans="1:5">
      <c r="A9" s="125">
        <v>3.4</v>
      </c>
      <c r="B9" s="133" t="s">
        <v>86</v>
      </c>
      <c r="C9" s="125"/>
      <c r="D9" s="125"/>
      <c r="E9" s="125" t="s">
        <v>87</v>
      </c>
    </row>
    <row r="10" ht="24" customHeight="1" spans="1:5">
      <c r="A10" s="125">
        <v>3.5</v>
      </c>
      <c r="B10" s="125" t="s">
        <v>88</v>
      </c>
      <c r="C10" s="125"/>
      <c r="D10" s="125"/>
      <c r="E10" s="125" t="s">
        <v>89</v>
      </c>
    </row>
    <row r="11" ht="41" customHeight="1" spans="1:5">
      <c r="A11" s="125">
        <v>3.6</v>
      </c>
      <c r="B11" s="125" t="s">
        <v>90</v>
      </c>
      <c r="C11" s="125"/>
      <c r="D11" s="125"/>
      <c r="E11" s="133" t="s">
        <v>91</v>
      </c>
    </row>
    <row r="12" ht="79" customHeight="1" spans="1:5">
      <c r="A12" s="125">
        <v>3.7</v>
      </c>
      <c r="B12" s="125" t="s">
        <v>92</v>
      </c>
      <c r="C12" s="125"/>
      <c r="D12" s="133" t="s">
        <v>93</v>
      </c>
      <c r="E12" s="133" t="s">
        <v>94</v>
      </c>
    </row>
    <row r="13" ht="24" customHeight="1" spans="1:5">
      <c r="A13" s="125">
        <v>3.8</v>
      </c>
      <c r="B13" s="125"/>
      <c r="C13" s="125"/>
      <c r="D13" s="125"/>
      <c r="E13" s="125"/>
    </row>
    <row r="14" ht="46" customHeight="1" spans="1:5">
      <c r="A14" s="125">
        <v>3.9</v>
      </c>
      <c r="B14" s="134" t="s">
        <v>95</v>
      </c>
      <c r="C14" s="125"/>
      <c r="D14" s="133" t="s">
        <v>96</v>
      </c>
      <c r="E14" s="125" t="s">
        <v>97</v>
      </c>
    </row>
    <row r="15" ht="24" customHeight="1" spans="1:5">
      <c r="A15" s="135">
        <v>3.1</v>
      </c>
      <c r="B15" s="125"/>
      <c r="C15" s="125"/>
      <c r="D15" s="125"/>
      <c r="E15" s="125"/>
    </row>
    <row r="16" ht="24" customHeight="1" spans="1:5">
      <c r="A16" s="125">
        <v>3.11</v>
      </c>
      <c r="B16" s="125"/>
      <c r="C16" s="125"/>
      <c r="D16" s="125"/>
      <c r="E16" s="125"/>
    </row>
  </sheetData>
  <mergeCells count="1">
    <mergeCell ref="A1:E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F28" sqref="F28"/>
    </sheetView>
  </sheetViews>
  <sheetFormatPr defaultColWidth="9" defaultRowHeight="15.6" outlineLevelCol="6"/>
  <cols>
    <col min="1" max="1" width="5.62962962962963" style="121" customWidth="1"/>
    <col min="2" max="2" width="19.1296296296296" style="121" customWidth="1"/>
    <col min="3" max="3" width="14.75" style="121" customWidth="1"/>
    <col min="4" max="4" width="23.6296296296296" style="121" customWidth="1"/>
    <col min="5" max="5" width="27.75" style="121" customWidth="1"/>
    <col min="6" max="6" width="20.3796296296296" style="121" customWidth="1"/>
    <col min="7" max="7" width="14.3796296296296" style="121" customWidth="1"/>
    <col min="8" max="16384" width="9" style="121"/>
  </cols>
  <sheetData>
    <row r="1" ht="19.2" spans="1:7">
      <c r="A1" s="122" t="s">
        <v>98</v>
      </c>
      <c r="B1" s="122"/>
      <c r="C1" s="122"/>
      <c r="D1" s="122"/>
      <c r="E1" s="122"/>
      <c r="F1" s="122"/>
      <c r="G1" s="122"/>
    </row>
    <row r="2" ht="19.2" spans="1:7">
      <c r="A2" s="123" t="s">
        <v>99</v>
      </c>
      <c r="B2" s="123"/>
      <c r="C2" s="123"/>
      <c r="D2" s="123"/>
      <c r="E2" s="123"/>
      <c r="F2" s="123"/>
      <c r="G2" s="124"/>
    </row>
    <row r="3" ht="25" customHeight="1" spans="1:7">
      <c r="A3" s="125" t="s">
        <v>2</v>
      </c>
      <c r="B3" s="125" t="s">
        <v>100</v>
      </c>
      <c r="C3" s="125" t="s">
        <v>101</v>
      </c>
      <c r="D3" s="125" t="s">
        <v>102</v>
      </c>
      <c r="E3" s="125"/>
      <c r="F3" s="125"/>
      <c r="G3" s="125" t="s">
        <v>6</v>
      </c>
    </row>
    <row r="4" ht="25" customHeight="1" spans="1:7">
      <c r="A4" s="125"/>
      <c r="B4" s="125"/>
      <c r="C4" s="125"/>
      <c r="D4" s="125" t="s">
        <v>100</v>
      </c>
      <c r="E4" s="126" t="s">
        <v>103</v>
      </c>
      <c r="F4" s="127"/>
      <c r="G4" s="128" t="s">
        <v>99</v>
      </c>
    </row>
    <row r="5" ht="25" customHeight="1" spans="1:7">
      <c r="A5" s="125">
        <v>1</v>
      </c>
      <c r="B5" s="125" t="s">
        <v>104</v>
      </c>
      <c r="C5" s="125">
        <v>2</v>
      </c>
      <c r="D5" s="125">
        <v>1000</v>
      </c>
      <c r="E5" s="125" t="s">
        <v>105</v>
      </c>
      <c r="F5" s="125">
        <f>1000*2%</f>
        <v>20</v>
      </c>
      <c r="G5" s="129"/>
    </row>
    <row r="6" ht="25" customHeight="1" spans="1:7">
      <c r="A6" s="125">
        <v>2</v>
      </c>
      <c r="B6" s="125" t="s">
        <v>106</v>
      </c>
      <c r="C6" s="125">
        <v>1.5</v>
      </c>
      <c r="D6" s="125">
        <v>5000</v>
      </c>
      <c r="E6" s="125" t="s">
        <v>107</v>
      </c>
      <c r="F6" s="125">
        <f>20+(5000-1000)*1.5%</f>
        <v>80</v>
      </c>
      <c r="G6" s="129"/>
    </row>
    <row r="7" ht="25" customHeight="1" spans="1:7">
      <c r="A7" s="125">
        <v>3</v>
      </c>
      <c r="B7" s="125" t="s">
        <v>108</v>
      </c>
      <c r="C7" s="125">
        <v>1.2</v>
      </c>
      <c r="D7" s="125">
        <v>10000</v>
      </c>
      <c r="E7" s="125" t="s">
        <v>109</v>
      </c>
      <c r="F7" s="125">
        <f>80+(10000-5000)*1.2%</f>
        <v>140</v>
      </c>
      <c r="G7" s="129"/>
    </row>
    <row r="8" ht="25" customHeight="1" spans="1:7">
      <c r="A8" s="125">
        <v>4</v>
      </c>
      <c r="B8" s="125" t="s">
        <v>110</v>
      </c>
      <c r="C8" s="125">
        <v>1</v>
      </c>
      <c r="D8" s="125">
        <v>50000</v>
      </c>
      <c r="E8" s="125" t="s">
        <v>111</v>
      </c>
      <c r="F8" s="125">
        <f>140+(50000-10000)*1%</f>
        <v>540</v>
      </c>
      <c r="G8" s="129"/>
    </row>
    <row r="9" ht="25" customHeight="1" spans="1:7">
      <c r="A9" s="125">
        <v>5</v>
      </c>
      <c r="B9" s="125" t="s">
        <v>112</v>
      </c>
      <c r="C9" s="125">
        <v>0.8</v>
      </c>
      <c r="D9" s="125">
        <v>100000</v>
      </c>
      <c r="E9" s="125" t="s">
        <v>113</v>
      </c>
      <c r="F9" s="125">
        <f>540+(100000-50000)*0.8%</f>
        <v>940</v>
      </c>
      <c r="G9" s="129"/>
    </row>
    <row r="10" ht="25" customHeight="1" spans="1:7">
      <c r="A10" s="125">
        <v>6</v>
      </c>
      <c r="B10" s="125" t="s">
        <v>114</v>
      </c>
      <c r="C10" s="125">
        <v>0.4</v>
      </c>
      <c r="D10" s="125">
        <v>200000</v>
      </c>
      <c r="E10" s="125" t="s">
        <v>115</v>
      </c>
      <c r="F10" s="125">
        <f>940+(200000-100000)*0.4%</f>
        <v>1340</v>
      </c>
      <c r="G10" s="130"/>
    </row>
    <row r="13" ht="33" customHeight="1" spans="2:5">
      <c r="B13" s="131" t="s">
        <v>116</v>
      </c>
      <c r="C13" s="131"/>
      <c r="D13" s="131"/>
      <c r="E13" s="131"/>
    </row>
    <row r="14" ht="33" customHeight="1" spans="2:5">
      <c r="B14" s="125" t="s">
        <v>117</v>
      </c>
      <c r="C14" s="132" t="s">
        <v>101</v>
      </c>
      <c r="D14" s="125" t="s">
        <v>71</v>
      </c>
      <c r="E14" s="125" t="s">
        <v>6</v>
      </c>
    </row>
    <row r="15" ht="33" customHeight="1" spans="2:5">
      <c r="B15" s="125" t="s">
        <v>118</v>
      </c>
      <c r="C15" s="132" t="s">
        <v>119</v>
      </c>
      <c r="D15" s="133" t="s">
        <v>120</v>
      </c>
      <c r="E15" s="125" t="s">
        <v>73</v>
      </c>
    </row>
  </sheetData>
  <mergeCells count="9">
    <mergeCell ref="A1:G1"/>
    <mergeCell ref="A2:F2"/>
    <mergeCell ref="D3:F3"/>
    <mergeCell ref="E4:F4"/>
    <mergeCell ref="B13:E13"/>
    <mergeCell ref="A3:A4"/>
    <mergeCell ref="B3:B4"/>
    <mergeCell ref="C3:C4"/>
    <mergeCell ref="G4:G10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F28" sqref="F28"/>
    </sheetView>
  </sheetViews>
  <sheetFormatPr defaultColWidth="9" defaultRowHeight="14.4" outlineLevelCol="6"/>
  <cols>
    <col min="1" max="3" width="9" style="12"/>
    <col min="4" max="4" width="16.6296296296296" style="12" customWidth="1"/>
    <col min="5" max="5" width="16.1296296296296" style="12" customWidth="1"/>
    <col min="6" max="6" width="17.6296296296296" style="12" customWidth="1"/>
    <col min="7" max="7" width="31.3796296296296" style="12" customWidth="1"/>
    <col min="8" max="8" width="12.6296296296296" style="12"/>
    <col min="9" max="16384" width="9" style="12"/>
  </cols>
  <sheetData>
    <row r="1" ht="46" customHeight="1" spans="1:6">
      <c r="A1" s="87" t="s">
        <v>121</v>
      </c>
      <c r="B1" s="88"/>
      <c r="C1" s="88"/>
      <c r="D1" s="88"/>
      <c r="E1" s="88"/>
      <c r="F1" s="89"/>
    </row>
    <row r="2" ht="30" customHeight="1" spans="1:6">
      <c r="A2" s="90" t="s">
        <v>122</v>
      </c>
      <c r="B2" s="17" t="s">
        <v>123</v>
      </c>
      <c r="C2" s="91"/>
      <c r="D2" s="18" t="s">
        <v>122</v>
      </c>
      <c r="E2" s="18"/>
      <c r="F2" s="92" t="s">
        <v>124</v>
      </c>
    </row>
    <row r="3" ht="30" customHeight="1" spans="1:6">
      <c r="A3" s="90"/>
      <c r="B3" s="17"/>
      <c r="C3" s="93"/>
      <c r="D3" s="18" t="s">
        <v>125</v>
      </c>
      <c r="E3" s="18" t="s">
        <v>126</v>
      </c>
      <c r="F3" s="92"/>
    </row>
    <row r="4" ht="30" customHeight="1" spans="1:7">
      <c r="A4" s="120">
        <v>0</v>
      </c>
      <c r="B4" s="17">
        <v>1.5</v>
      </c>
      <c r="C4" s="93"/>
      <c r="D4" s="19" t="s">
        <v>127</v>
      </c>
      <c r="E4" s="20"/>
      <c r="F4" s="94">
        <f t="shared" ref="F4:F10" si="0">B4+(B5-B4)/(A5-A4)*(E4-A4)</f>
        <v>1.5</v>
      </c>
      <c r="G4" s="12" t="s">
        <v>128</v>
      </c>
    </row>
    <row r="5" ht="30" customHeight="1" spans="1:6">
      <c r="A5" s="90">
        <v>1000</v>
      </c>
      <c r="B5" s="17">
        <v>2.5</v>
      </c>
      <c r="C5" s="93"/>
      <c r="D5" s="19" t="s">
        <v>129</v>
      </c>
      <c r="E5" s="20"/>
      <c r="F5" s="94">
        <f t="shared" si="0"/>
        <v>0.75</v>
      </c>
    </row>
    <row r="6" ht="30" customHeight="1" spans="1:6">
      <c r="A6" s="90">
        <v>3000</v>
      </c>
      <c r="B6" s="17">
        <v>6</v>
      </c>
      <c r="C6" s="93"/>
      <c r="D6" s="19" t="s">
        <v>130</v>
      </c>
      <c r="E6" s="20"/>
      <c r="F6" s="94">
        <f t="shared" si="0"/>
        <v>2.57142857142857</v>
      </c>
    </row>
    <row r="7" ht="30" customHeight="1" spans="1:6">
      <c r="A7" s="90">
        <v>10000</v>
      </c>
      <c r="B7" s="17">
        <v>14</v>
      </c>
      <c r="C7" s="93"/>
      <c r="D7" s="19" t="s">
        <v>131</v>
      </c>
      <c r="E7" s="20">
        <f>+清单!G5</f>
        <v>24004.214513</v>
      </c>
      <c r="F7" s="94">
        <f t="shared" si="0"/>
        <v>22.052423344975</v>
      </c>
    </row>
    <row r="8" ht="30" customHeight="1" spans="1:6">
      <c r="A8" s="90">
        <v>50000</v>
      </c>
      <c r="B8" s="95">
        <v>37</v>
      </c>
      <c r="C8" s="93"/>
      <c r="D8" s="19" t="s">
        <v>132</v>
      </c>
      <c r="E8" s="20"/>
      <c r="F8" s="94">
        <f t="shared" si="0"/>
        <v>19</v>
      </c>
    </row>
    <row r="9" ht="30" customHeight="1" spans="1:6">
      <c r="A9" s="90">
        <v>100000</v>
      </c>
      <c r="B9" s="17">
        <v>55</v>
      </c>
      <c r="C9" s="93"/>
      <c r="D9" s="19" t="s">
        <v>133</v>
      </c>
      <c r="F9" s="94">
        <f t="shared" si="0"/>
        <v>43.75</v>
      </c>
    </row>
    <row r="10" ht="30" customHeight="1" spans="1:6">
      <c r="A10" s="90">
        <v>500000</v>
      </c>
      <c r="B10" s="17">
        <v>100</v>
      </c>
      <c r="C10" s="93"/>
      <c r="D10" s="19" t="s">
        <v>134</v>
      </c>
      <c r="E10" s="20"/>
      <c r="F10" s="94">
        <f t="shared" si="0"/>
        <v>75</v>
      </c>
    </row>
    <row r="11" ht="30" customHeight="1" spans="1:7">
      <c r="A11" s="120">
        <v>1000000</v>
      </c>
      <c r="B11" s="17">
        <v>125</v>
      </c>
      <c r="C11" s="93"/>
      <c r="D11" s="19"/>
      <c r="E11" s="20"/>
      <c r="F11" s="94"/>
      <c r="G11" s="12" t="s">
        <v>135</v>
      </c>
    </row>
  </sheetData>
  <mergeCells count="6">
    <mergeCell ref="A1:F1"/>
    <mergeCell ref="D2:E2"/>
    <mergeCell ref="A2:A3"/>
    <mergeCell ref="B2:B3"/>
    <mergeCell ref="C2:C11"/>
    <mergeCell ref="F2:F3"/>
  </mergeCells>
  <pageMargins left="0.7" right="0.7" top="0.75" bottom="0.75" header="0.3" footer="0.3"/>
  <pageSetup paperSize="9" orientation="portrait" horizontalDpi="200" verticalDpi="300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F28" sqref="F28"/>
    </sheetView>
  </sheetViews>
  <sheetFormatPr defaultColWidth="9" defaultRowHeight="14.4" outlineLevelCol="6"/>
  <cols>
    <col min="1" max="3" width="9" style="12"/>
    <col min="4" max="4" width="16.6296296296296" style="12" customWidth="1"/>
    <col min="5" max="5" width="16.1296296296296" style="12" customWidth="1"/>
    <col min="6" max="6" width="17.6296296296296" style="12" customWidth="1"/>
    <col min="7" max="7" width="31.3796296296296" style="12" customWidth="1"/>
    <col min="8" max="8" width="12.6296296296296" style="12"/>
    <col min="9" max="16384" width="9" style="12"/>
  </cols>
  <sheetData>
    <row r="1" ht="42" customHeight="1" spans="1:6">
      <c r="A1" s="87" t="s">
        <v>136</v>
      </c>
      <c r="B1" s="88"/>
      <c r="C1" s="88"/>
      <c r="D1" s="88"/>
      <c r="E1" s="88"/>
      <c r="F1" s="89"/>
    </row>
    <row r="2" ht="30" customHeight="1" spans="1:6">
      <c r="A2" s="90" t="s">
        <v>122</v>
      </c>
      <c r="B2" s="17" t="s">
        <v>123</v>
      </c>
      <c r="C2" s="91"/>
      <c r="D2" s="18" t="s">
        <v>122</v>
      </c>
      <c r="E2" s="18"/>
      <c r="F2" s="92" t="s">
        <v>124</v>
      </c>
    </row>
    <row r="3" ht="30" customHeight="1" spans="1:6">
      <c r="A3" s="90"/>
      <c r="B3" s="17"/>
      <c r="C3" s="93"/>
      <c r="D3" s="18" t="s">
        <v>125</v>
      </c>
      <c r="E3" s="18" t="s">
        <v>126</v>
      </c>
      <c r="F3" s="92"/>
    </row>
    <row r="4" ht="30" customHeight="1" spans="1:7">
      <c r="A4" s="120">
        <v>0</v>
      </c>
      <c r="B4" s="17">
        <v>3</v>
      </c>
      <c r="C4" s="93"/>
      <c r="D4" s="19" t="s">
        <v>127</v>
      </c>
      <c r="E4" s="20"/>
      <c r="F4" s="94">
        <f t="shared" ref="F4:F10" si="0">B4+(B5-B4)/(A5-A4)*(E4-A4)</f>
        <v>3</v>
      </c>
      <c r="G4" s="12" t="s">
        <v>128</v>
      </c>
    </row>
    <row r="5" ht="30" customHeight="1" spans="1:6">
      <c r="A5" s="90">
        <v>1000</v>
      </c>
      <c r="B5" s="17">
        <v>5</v>
      </c>
      <c r="C5" s="93"/>
      <c r="D5" s="19" t="s">
        <v>129</v>
      </c>
      <c r="E5" s="20"/>
      <c r="F5" s="94">
        <f t="shared" si="0"/>
        <v>1.5</v>
      </c>
    </row>
    <row r="6" ht="30" customHeight="1" spans="1:6">
      <c r="A6" s="90">
        <v>3000</v>
      </c>
      <c r="B6" s="17">
        <v>12</v>
      </c>
      <c r="C6" s="93"/>
      <c r="D6" s="19" t="s">
        <v>130</v>
      </c>
      <c r="E6" s="20"/>
      <c r="F6" s="94">
        <f t="shared" si="0"/>
        <v>5.14285714285714</v>
      </c>
    </row>
    <row r="7" ht="30" customHeight="1" spans="1:6">
      <c r="A7" s="90">
        <v>10000</v>
      </c>
      <c r="B7" s="17">
        <v>28</v>
      </c>
      <c r="C7" s="93"/>
      <c r="D7" s="19" t="s">
        <v>131</v>
      </c>
      <c r="E7" s="20">
        <f>+清单!G5</f>
        <v>24004.214513</v>
      </c>
      <c r="F7" s="94">
        <f t="shared" si="0"/>
        <v>44.454952052775</v>
      </c>
    </row>
    <row r="8" ht="30" customHeight="1" spans="1:6">
      <c r="A8" s="90">
        <v>50000</v>
      </c>
      <c r="B8" s="95">
        <v>75</v>
      </c>
      <c r="C8" s="93"/>
      <c r="D8" s="19" t="s">
        <v>132</v>
      </c>
      <c r="E8" s="20"/>
      <c r="F8" s="94">
        <f t="shared" si="0"/>
        <v>40</v>
      </c>
    </row>
    <row r="9" ht="30" customHeight="1" spans="1:6">
      <c r="A9" s="90">
        <v>100000</v>
      </c>
      <c r="B9" s="17">
        <v>110</v>
      </c>
      <c r="C9" s="93"/>
      <c r="D9" s="19" t="s">
        <v>133</v>
      </c>
      <c r="E9" s="20"/>
      <c r="F9" s="94">
        <f t="shared" si="0"/>
        <v>87.5</v>
      </c>
    </row>
    <row r="10" ht="30" customHeight="1" spans="1:6">
      <c r="A10" s="90">
        <v>500000</v>
      </c>
      <c r="B10" s="17">
        <v>200</v>
      </c>
      <c r="C10" s="93"/>
      <c r="D10" s="19" t="s">
        <v>134</v>
      </c>
      <c r="E10" s="20"/>
      <c r="F10" s="94">
        <f t="shared" si="0"/>
        <v>150</v>
      </c>
    </row>
    <row r="11" ht="30" customHeight="1" spans="1:7">
      <c r="A11" s="120">
        <v>1000000</v>
      </c>
      <c r="B11" s="17">
        <v>250</v>
      </c>
      <c r="C11" s="93"/>
      <c r="D11" s="19"/>
      <c r="E11" s="20"/>
      <c r="F11" s="94"/>
      <c r="G11" s="12" t="s">
        <v>135</v>
      </c>
    </row>
  </sheetData>
  <mergeCells count="6">
    <mergeCell ref="A1:F1"/>
    <mergeCell ref="D2:E2"/>
    <mergeCell ref="A2:A3"/>
    <mergeCell ref="B2:B3"/>
    <mergeCell ref="C2:C11"/>
    <mergeCell ref="F2:F3"/>
  </mergeCells>
  <pageMargins left="0.7" right="0.7" top="0.75" bottom="0.75" header="0.3" footer="0.3"/>
  <pageSetup paperSize="9" orientation="portrait" horizontalDpi="200" verticalDpi="300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zoomScale="85" zoomScaleNormal="85" workbookViewId="0">
      <selection activeCell="F28" sqref="F28"/>
    </sheetView>
  </sheetViews>
  <sheetFormatPr defaultColWidth="11" defaultRowHeight="17.25" customHeight="1"/>
  <cols>
    <col min="1" max="2" width="9.12962962962963" style="86" customWidth="1"/>
    <col min="3" max="3" width="0.5" style="86" customWidth="1"/>
    <col min="4" max="4" width="15.1296296296296" style="86" customWidth="1"/>
    <col min="5" max="5" width="13.8796296296296" style="86" customWidth="1"/>
    <col min="6" max="6" width="15" style="86" customWidth="1"/>
    <col min="7" max="7" width="15.8796296296296" style="86" customWidth="1"/>
    <col min="8" max="12" width="15.7592592592593" style="86" customWidth="1"/>
    <col min="13" max="13" width="16.7314814814815" style="86" customWidth="1"/>
    <col min="14" max="14" width="11" style="86"/>
    <col min="15" max="16" width="12.6296296296296" style="86"/>
    <col min="17" max="16384" width="11" style="86"/>
  </cols>
  <sheetData>
    <row r="1" ht="36.75" customHeight="1" spans="1:13">
      <c r="A1" s="87" t="s">
        <v>137</v>
      </c>
      <c r="B1" s="88"/>
      <c r="C1" s="88"/>
      <c r="D1" s="88"/>
      <c r="E1" s="88"/>
      <c r="F1" s="89"/>
      <c r="H1" s="106" t="s">
        <v>138</v>
      </c>
      <c r="I1" s="106"/>
      <c r="J1" s="106"/>
      <c r="K1" s="106"/>
      <c r="L1" s="106"/>
      <c r="M1" s="106"/>
    </row>
    <row r="2" customHeight="1" spans="1:13">
      <c r="A2" s="90" t="s">
        <v>122</v>
      </c>
      <c r="B2" s="17" t="s">
        <v>123</v>
      </c>
      <c r="C2" s="91"/>
      <c r="D2" s="18" t="s">
        <v>122</v>
      </c>
      <c r="E2" s="18"/>
      <c r="F2" s="92" t="s">
        <v>124</v>
      </c>
      <c r="H2" s="107" t="s">
        <v>124</v>
      </c>
      <c r="I2" s="18" t="s">
        <v>139</v>
      </c>
      <c r="J2" s="18" t="s">
        <v>140</v>
      </c>
      <c r="K2" s="18" t="s">
        <v>141</v>
      </c>
      <c r="L2" s="107" t="s">
        <v>142</v>
      </c>
      <c r="M2" s="107" t="s">
        <v>143</v>
      </c>
    </row>
    <row r="3" customHeight="1" spans="1:13">
      <c r="A3" s="90"/>
      <c r="B3" s="17"/>
      <c r="C3" s="93"/>
      <c r="D3" s="18" t="s">
        <v>125</v>
      </c>
      <c r="E3" s="18" t="s">
        <v>126</v>
      </c>
      <c r="F3" s="92"/>
      <c r="H3" s="107"/>
      <c r="I3" s="18"/>
      <c r="J3" s="18"/>
      <c r="K3" s="18"/>
      <c r="L3" s="107"/>
      <c r="M3" s="107"/>
    </row>
    <row r="4" customHeight="1" spans="1:13">
      <c r="A4" s="90"/>
      <c r="B4" s="17"/>
      <c r="C4" s="93"/>
      <c r="D4" s="19" t="s">
        <v>144</v>
      </c>
      <c r="E4" s="20">
        <v>150</v>
      </c>
      <c r="F4" s="94">
        <f t="shared" ref="F4:F21" si="0">B4+(E4-A4)*(B5-B4)/(A5-A4)</f>
        <v>6.75</v>
      </c>
      <c r="H4" s="108">
        <v>21.83</v>
      </c>
      <c r="I4" s="116">
        <v>1</v>
      </c>
      <c r="J4" s="116">
        <v>1.15</v>
      </c>
      <c r="K4" s="116">
        <v>1.4</v>
      </c>
      <c r="L4" s="108">
        <f>H4*I4*J4*K4</f>
        <v>35.1463</v>
      </c>
      <c r="M4" s="108">
        <f>L4/10</f>
        <v>3.51463</v>
      </c>
    </row>
    <row r="5" customHeight="1" spans="1:13">
      <c r="A5" s="90">
        <v>200</v>
      </c>
      <c r="B5" s="17">
        <v>9</v>
      </c>
      <c r="C5" s="93"/>
      <c r="D5" s="19" t="s">
        <v>145</v>
      </c>
      <c r="E5" s="20"/>
      <c r="F5" s="94">
        <f t="shared" si="0"/>
        <v>1.06666666666667</v>
      </c>
      <c r="H5" s="108"/>
      <c r="I5" s="116"/>
      <c r="J5" s="116"/>
      <c r="K5" s="116"/>
      <c r="L5" s="108"/>
      <c r="M5" s="108"/>
    </row>
    <row r="6" customHeight="1" spans="1:13">
      <c r="A6" s="90">
        <v>500</v>
      </c>
      <c r="B6" s="17">
        <v>20.9</v>
      </c>
      <c r="C6" s="93"/>
      <c r="D6" s="19" t="s">
        <v>146</v>
      </c>
      <c r="E6" s="20"/>
      <c r="F6" s="94">
        <f t="shared" si="0"/>
        <v>3</v>
      </c>
      <c r="H6" s="109" t="s">
        <v>147</v>
      </c>
      <c r="I6" s="109"/>
      <c r="J6" s="109"/>
      <c r="K6" s="109"/>
      <c r="L6" s="109"/>
      <c r="M6" s="17" t="s">
        <v>148</v>
      </c>
    </row>
    <row r="7" customHeight="1" spans="1:7">
      <c r="A7" s="90">
        <v>1000</v>
      </c>
      <c r="B7" s="17">
        <v>38.8</v>
      </c>
      <c r="C7" s="93"/>
      <c r="D7" s="19" t="s">
        <v>129</v>
      </c>
      <c r="E7" s="20"/>
      <c r="F7" s="94">
        <f t="shared" si="0"/>
        <v>6.3</v>
      </c>
      <c r="G7" s="110"/>
    </row>
    <row r="8" customHeight="1" spans="1:7">
      <c r="A8" s="90">
        <v>3000</v>
      </c>
      <c r="B8" s="17">
        <v>103.8</v>
      </c>
      <c r="C8" s="93"/>
      <c r="D8" s="19" t="s">
        <v>149</v>
      </c>
      <c r="E8" s="20"/>
      <c r="F8" s="94">
        <f t="shared" si="0"/>
        <v>13.65</v>
      </c>
      <c r="G8" s="111"/>
    </row>
    <row r="9" customHeight="1" spans="1:13">
      <c r="A9" s="90">
        <v>5000</v>
      </c>
      <c r="B9" s="17">
        <v>163.9</v>
      </c>
      <c r="C9" s="93"/>
      <c r="D9" s="19" t="s">
        <v>150</v>
      </c>
      <c r="E9" s="20"/>
      <c r="F9" s="94">
        <f t="shared" si="0"/>
        <v>21.0666666666667</v>
      </c>
      <c r="H9" s="112" t="s">
        <v>151</v>
      </c>
      <c r="I9" s="112"/>
      <c r="J9" s="112"/>
      <c r="K9" s="117" t="s">
        <v>152</v>
      </c>
      <c r="L9" s="117"/>
      <c r="M9" s="117"/>
    </row>
    <row r="10" customHeight="1" spans="1:13">
      <c r="A10" s="90">
        <v>8000</v>
      </c>
      <c r="B10" s="17">
        <v>249.6</v>
      </c>
      <c r="C10" s="93"/>
      <c r="D10" s="19" t="s">
        <v>153</v>
      </c>
      <c r="E10" s="20"/>
      <c r="F10" s="94">
        <f t="shared" si="0"/>
        <v>28.7999999999999</v>
      </c>
      <c r="H10" s="112"/>
      <c r="I10" s="112"/>
      <c r="J10" s="112"/>
      <c r="K10" s="117"/>
      <c r="L10" s="117"/>
      <c r="M10" s="117"/>
    </row>
    <row r="11" customHeight="1" spans="1:13">
      <c r="A11" s="90">
        <v>10000</v>
      </c>
      <c r="B11" s="17">
        <v>304.8</v>
      </c>
      <c r="C11" s="93"/>
      <c r="D11" s="19" t="s">
        <v>154</v>
      </c>
      <c r="E11" s="20"/>
      <c r="F11" s="94">
        <f t="shared" si="0"/>
        <v>42.8000000000001</v>
      </c>
      <c r="H11" s="112"/>
      <c r="I11" s="112"/>
      <c r="J11" s="112"/>
      <c r="K11" s="118">
        <v>0.3</v>
      </c>
      <c r="L11" s="118">
        <v>0.6</v>
      </c>
      <c r="M11" s="118">
        <v>0.1</v>
      </c>
    </row>
    <row r="12" customHeight="1" spans="1:13">
      <c r="A12" s="90">
        <v>20000</v>
      </c>
      <c r="B12" s="17">
        <v>566.8</v>
      </c>
      <c r="C12" s="93"/>
      <c r="D12" s="19" t="s">
        <v>155</v>
      </c>
      <c r="E12" s="20">
        <f>+清单!G5</f>
        <v>24004.214513</v>
      </c>
      <c r="F12" s="94">
        <f t="shared" si="0"/>
        <v>664.34266553668</v>
      </c>
      <c r="H12" s="112"/>
      <c r="I12" s="112"/>
      <c r="J12" s="112"/>
      <c r="K12" s="118"/>
      <c r="L12" s="118"/>
      <c r="M12" s="118"/>
    </row>
    <row r="13" customHeight="1" spans="1:13">
      <c r="A13" s="90">
        <v>40000</v>
      </c>
      <c r="B13" s="17">
        <v>1054</v>
      </c>
      <c r="C13" s="93"/>
      <c r="D13" s="19" t="s">
        <v>156</v>
      </c>
      <c r="E13" s="20"/>
      <c r="F13" s="94">
        <f t="shared" si="0"/>
        <v>131.6</v>
      </c>
      <c r="H13" s="113">
        <f>M4+L4</f>
        <v>38.66093</v>
      </c>
      <c r="I13" s="113"/>
      <c r="J13" s="113"/>
      <c r="K13" s="119">
        <f>K11*H13</f>
        <v>11.598279</v>
      </c>
      <c r="L13" s="119">
        <f>L11*H13</f>
        <v>23.196558</v>
      </c>
      <c r="M13" s="119">
        <f>M11*H13</f>
        <v>3.866093</v>
      </c>
    </row>
    <row r="14" customHeight="1" spans="1:13">
      <c r="A14" s="90">
        <v>60000</v>
      </c>
      <c r="B14" s="17">
        <v>1515.2</v>
      </c>
      <c r="C14" s="93"/>
      <c r="D14" s="19" t="s">
        <v>157</v>
      </c>
      <c r="E14" s="20"/>
      <c r="F14" s="94">
        <f t="shared" si="0"/>
        <v>180.5</v>
      </c>
      <c r="H14" s="113"/>
      <c r="I14" s="113"/>
      <c r="J14" s="113"/>
      <c r="K14" s="119"/>
      <c r="L14" s="119"/>
      <c r="M14" s="119"/>
    </row>
    <row r="15" customHeight="1" spans="1:9">
      <c r="A15" s="90">
        <v>80000</v>
      </c>
      <c r="B15" s="17">
        <v>1960.1</v>
      </c>
      <c r="C15" s="93"/>
      <c r="D15" s="19" t="s">
        <v>158</v>
      </c>
      <c r="E15" s="20"/>
      <c r="F15" s="94">
        <f t="shared" si="0"/>
        <v>226.899999999999</v>
      </c>
      <c r="H15" s="114"/>
      <c r="I15" s="114"/>
    </row>
    <row r="16" customHeight="1" spans="1:6">
      <c r="A16" s="90">
        <v>100000</v>
      </c>
      <c r="B16" s="17">
        <v>2393.4</v>
      </c>
      <c r="C16" s="93"/>
      <c r="D16" s="19" t="s">
        <v>159</v>
      </c>
      <c r="E16" s="20"/>
      <c r="F16" s="94">
        <f t="shared" si="0"/>
        <v>336</v>
      </c>
    </row>
    <row r="17" customHeight="1" spans="1:9">
      <c r="A17" s="90">
        <v>200000</v>
      </c>
      <c r="B17" s="17">
        <v>4450.8</v>
      </c>
      <c r="C17" s="93"/>
      <c r="D17" s="19" t="s">
        <v>160</v>
      </c>
      <c r="E17" s="20"/>
      <c r="F17" s="94">
        <f t="shared" si="0"/>
        <v>624.9</v>
      </c>
      <c r="H17" s="12"/>
      <c r="I17" s="12"/>
    </row>
    <row r="18" customHeight="1" spans="1:6">
      <c r="A18" s="90">
        <v>400000</v>
      </c>
      <c r="B18" s="17">
        <v>8276.7</v>
      </c>
      <c r="C18" s="93"/>
      <c r="D18" s="19" t="s">
        <v>161</v>
      </c>
      <c r="E18" s="20"/>
      <c r="F18" s="94">
        <f t="shared" si="0"/>
        <v>1035.1</v>
      </c>
    </row>
    <row r="19" customHeight="1" spans="1:13">
      <c r="A19" s="90">
        <v>600000</v>
      </c>
      <c r="B19" s="17">
        <v>11897.5</v>
      </c>
      <c r="C19" s="93"/>
      <c r="D19" s="19" t="s">
        <v>162</v>
      </c>
      <c r="E19" s="20"/>
      <c r="F19" s="94">
        <f t="shared" si="0"/>
        <v>1415.8</v>
      </c>
      <c r="H19" s="12"/>
      <c r="I19" s="12"/>
      <c r="J19" s="12"/>
      <c r="K19" s="12"/>
      <c r="L19" s="12"/>
      <c r="M19" s="12"/>
    </row>
    <row r="20" customHeight="1" spans="1:13">
      <c r="A20" s="90">
        <v>800000</v>
      </c>
      <c r="B20" s="17">
        <v>15391.4</v>
      </c>
      <c r="C20" s="93"/>
      <c r="D20" s="19" t="s">
        <v>163</v>
      </c>
      <c r="E20" s="20"/>
      <c r="F20" s="94">
        <f t="shared" si="0"/>
        <v>1781.8</v>
      </c>
      <c r="H20" s="12"/>
      <c r="I20" s="12"/>
      <c r="J20" s="12"/>
      <c r="K20" s="12"/>
      <c r="L20" s="12"/>
      <c r="M20" s="12"/>
    </row>
    <row r="21" customHeight="1" spans="1:13">
      <c r="A21" s="90">
        <v>1000000</v>
      </c>
      <c r="B21" s="17">
        <v>18793.8</v>
      </c>
      <c r="C21" s="93"/>
      <c r="D21" s="19" t="s">
        <v>164</v>
      </c>
      <c r="E21" s="20"/>
      <c r="F21" s="94">
        <f t="shared" si="0"/>
        <v>2638.7</v>
      </c>
      <c r="H21" s="115"/>
      <c r="I21" s="115"/>
      <c r="J21" s="115"/>
      <c r="K21" s="115"/>
      <c r="L21" s="115"/>
      <c r="M21" s="12"/>
    </row>
    <row r="22" customHeight="1" spans="1:13">
      <c r="A22" s="96">
        <v>2000000</v>
      </c>
      <c r="B22" s="97">
        <v>34948.9</v>
      </c>
      <c r="C22" s="98"/>
      <c r="D22" s="97"/>
      <c r="E22" s="99"/>
      <c r="F22" s="100"/>
      <c r="H22" s="115"/>
      <c r="I22" s="115">
        <v>35.15</v>
      </c>
      <c r="M22" s="12"/>
    </row>
    <row r="23" customHeight="1" spans="8:13">
      <c r="H23" s="12"/>
      <c r="I23" s="12">
        <v>21.41</v>
      </c>
      <c r="M23" s="12"/>
    </row>
    <row r="24" customHeight="1" spans="8:13">
      <c r="H24" s="12"/>
      <c r="I24" s="12"/>
      <c r="M24" s="12"/>
    </row>
    <row r="25" customHeight="1" spans="8:13">
      <c r="H25" s="12"/>
      <c r="I25" s="12"/>
      <c r="M25" s="12"/>
    </row>
    <row r="26" customHeight="1" spans="8:13">
      <c r="H26" s="12"/>
      <c r="I26" s="12"/>
      <c r="M26" s="12"/>
    </row>
    <row r="27" customHeight="1" spans="7:7">
      <c r="G27" s="114"/>
    </row>
    <row r="29" customHeight="1" spans="6:6">
      <c r="F29" s="105"/>
    </row>
    <row r="30" customHeight="1" spans="6:6">
      <c r="F30" s="105"/>
    </row>
    <row r="31" customHeight="1" spans="4:6">
      <c r="D31" s="114"/>
      <c r="E31" s="114"/>
      <c r="F31" s="105"/>
    </row>
    <row r="33" customHeight="1" spans="14:14">
      <c r="N33" s="114"/>
    </row>
  </sheetData>
  <mergeCells count="36">
    <mergeCell ref="A1:F1"/>
    <mergeCell ref="H1:M1"/>
    <mergeCell ref="D2:E2"/>
    <mergeCell ref="H6:L6"/>
    <mergeCell ref="A23:F23"/>
    <mergeCell ref="A26:B26"/>
    <mergeCell ref="A27:B27"/>
    <mergeCell ref="A28:B28"/>
    <mergeCell ref="A29:B29"/>
    <mergeCell ref="A30:B30"/>
    <mergeCell ref="A31:B31"/>
    <mergeCell ref="A2:A3"/>
    <mergeCell ref="B2:B3"/>
    <mergeCell ref="C2:C22"/>
    <mergeCell ref="F2:F3"/>
    <mergeCell ref="H2:H3"/>
    <mergeCell ref="H4:H5"/>
    <mergeCell ref="I2:I3"/>
    <mergeCell ref="I4:I5"/>
    <mergeCell ref="J2:J3"/>
    <mergeCell ref="J4:J5"/>
    <mergeCell ref="K2:K3"/>
    <mergeCell ref="K4:K5"/>
    <mergeCell ref="K11:K12"/>
    <mergeCell ref="K13:K14"/>
    <mergeCell ref="L2:L3"/>
    <mergeCell ref="L4:L5"/>
    <mergeCell ref="L11:L12"/>
    <mergeCell ref="L13:L14"/>
    <mergeCell ref="M2:M3"/>
    <mergeCell ref="M4:M5"/>
    <mergeCell ref="M11:M12"/>
    <mergeCell ref="M13:M14"/>
    <mergeCell ref="H9:J12"/>
    <mergeCell ref="K9:M10"/>
    <mergeCell ref="H13:J14"/>
  </mergeCells>
  <pageMargins left="0.7" right="0.7" top="0.75" bottom="0.75" header="0.3" footer="0.3"/>
  <pageSetup paperSize="9" orientation="portrait" horizontalDpi="200" verticalDpi="300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F28" sqref="F28"/>
    </sheetView>
  </sheetViews>
  <sheetFormatPr defaultColWidth="9" defaultRowHeight="14.4" outlineLevelCol="7"/>
  <cols>
    <col min="1" max="3" width="9" style="12"/>
    <col min="4" max="4" width="16.6296296296296" style="12" customWidth="1"/>
    <col min="5" max="5" width="16.1296296296296" style="12" customWidth="1"/>
    <col min="6" max="6" width="17.6296296296296" style="12" customWidth="1"/>
    <col min="7" max="7" width="9" style="12"/>
    <col min="8" max="8" width="12.6296296296296" style="12"/>
    <col min="9" max="16384" width="9" style="12"/>
  </cols>
  <sheetData>
    <row r="1" ht="20.4" spans="1:6">
      <c r="A1" s="87" t="s">
        <v>165</v>
      </c>
      <c r="B1" s="88"/>
      <c r="C1" s="88"/>
      <c r="D1" s="88"/>
      <c r="E1" s="88"/>
      <c r="F1" s="89"/>
    </row>
    <row r="2" spans="1:6">
      <c r="A2" s="90" t="s">
        <v>122</v>
      </c>
      <c r="B2" s="17" t="s">
        <v>123</v>
      </c>
      <c r="C2" s="91"/>
      <c r="D2" s="18" t="s">
        <v>122</v>
      </c>
      <c r="E2" s="18"/>
      <c r="F2" s="92" t="s">
        <v>124</v>
      </c>
    </row>
    <row r="3" spans="1:6">
      <c r="A3" s="90"/>
      <c r="B3" s="17"/>
      <c r="C3" s="93"/>
      <c r="D3" s="18" t="s">
        <v>125</v>
      </c>
      <c r="E3" s="18" t="s">
        <v>126</v>
      </c>
      <c r="F3" s="92"/>
    </row>
    <row r="4" spans="1:6">
      <c r="A4" s="90"/>
      <c r="B4" s="17"/>
      <c r="C4" s="93"/>
      <c r="D4" s="19" t="s">
        <v>166</v>
      </c>
      <c r="E4" s="20"/>
      <c r="F4" s="94">
        <f>B4+(E4-A4)*(B5-B4)/(A5-A4)</f>
        <v>0</v>
      </c>
    </row>
    <row r="5" spans="1:6">
      <c r="A5" s="90">
        <v>500</v>
      </c>
      <c r="B5" s="17">
        <v>16.5</v>
      </c>
      <c r="C5" s="93"/>
      <c r="D5" s="19" t="s">
        <v>146</v>
      </c>
      <c r="E5" s="20"/>
      <c r="F5" s="94">
        <f t="shared" ref="F5:F19" si="0">B5+(B6-B5)/(A6-A5)*(E5-A5)</f>
        <v>2.9</v>
      </c>
    </row>
    <row r="6" spans="1:6">
      <c r="A6" s="90">
        <v>1000</v>
      </c>
      <c r="B6" s="17">
        <v>30.1</v>
      </c>
      <c r="C6" s="93"/>
      <c r="D6" s="19" t="s">
        <v>129</v>
      </c>
      <c r="E6" s="20"/>
      <c r="F6" s="94">
        <f t="shared" si="0"/>
        <v>6.1</v>
      </c>
    </row>
    <row r="7" spans="1:6">
      <c r="A7" s="90">
        <v>3000</v>
      </c>
      <c r="B7" s="17">
        <v>78.1</v>
      </c>
      <c r="C7" s="93"/>
      <c r="D7" s="19" t="s">
        <v>149</v>
      </c>
      <c r="E7" s="20"/>
      <c r="F7" s="94">
        <f t="shared" si="0"/>
        <v>14.05</v>
      </c>
    </row>
    <row r="8" spans="1:6">
      <c r="A8" s="90">
        <v>5000</v>
      </c>
      <c r="B8" s="17">
        <v>120.8</v>
      </c>
      <c r="C8" s="93"/>
      <c r="D8" s="19" t="s">
        <v>150</v>
      </c>
      <c r="E8" s="20"/>
      <c r="F8" s="94">
        <f t="shared" si="0"/>
        <v>20.4666666666667</v>
      </c>
    </row>
    <row r="9" spans="1:6">
      <c r="A9" s="90">
        <v>8000</v>
      </c>
      <c r="B9" s="95">
        <v>181</v>
      </c>
      <c r="C9" s="93"/>
      <c r="D9" s="19" t="s">
        <v>153</v>
      </c>
      <c r="E9" s="20"/>
      <c r="F9" s="94">
        <f t="shared" si="0"/>
        <v>30.6</v>
      </c>
    </row>
    <row r="10" spans="1:6">
      <c r="A10" s="90">
        <v>10000</v>
      </c>
      <c r="B10" s="17">
        <v>218.6</v>
      </c>
      <c r="C10" s="93"/>
      <c r="D10" s="19" t="s">
        <v>154</v>
      </c>
      <c r="E10" s="20"/>
      <c r="F10" s="94">
        <f t="shared" si="0"/>
        <v>43.8</v>
      </c>
    </row>
    <row r="11" spans="1:6">
      <c r="A11" s="90">
        <v>20000</v>
      </c>
      <c r="B11" s="17">
        <v>393.4</v>
      </c>
      <c r="C11" s="93"/>
      <c r="D11" s="19" t="s">
        <v>155</v>
      </c>
      <c r="E11" s="20">
        <f>+清单!G5</f>
        <v>24004.214513</v>
      </c>
      <c r="F11" s="94">
        <f t="shared" si="0"/>
        <v>456.42633643462</v>
      </c>
    </row>
    <row r="12" spans="1:6">
      <c r="A12" s="90">
        <v>40000</v>
      </c>
      <c r="B12" s="17">
        <v>708.2</v>
      </c>
      <c r="C12" s="93"/>
      <c r="D12" s="19" t="s">
        <v>156</v>
      </c>
      <c r="E12" s="20"/>
      <c r="F12" s="94">
        <f t="shared" si="0"/>
        <v>141.8</v>
      </c>
    </row>
    <row r="13" spans="1:6">
      <c r="A13" s="90">
        <v>60000</v>
      </c>
      <c r="B13" s="17">
        <v>991.4</v>
      </c>
      <c r="C13" s="93"/>
      <c r="D13" s="19" t="s">
        <v>157</v>
      </c>
      <c r="E13" s="20"/>
      <c r="F13" s="94">
        <f t="shared" si="0"/>
        <v>198.2</v>
      </c>
    </row>
    <row r="14" spans="1:6">
      <c r="A14" s="90">
        <v>80000</v>
      </c>
      <c r="B14" s="17">
        <v>1255.8</v>
      </c>
      <c r="C14" s="93"/>
      <c r="D14" s="19" t="s">
        <v>158</v>
      </c>
      <c r="E14" s="20"/>
      <c r="F14" s="94">
        <f t="shared" si="0"/>
        <v>251</v>
      </c>
    </row>
    <row r="15" spans="1:6">
      <c r="A15" s="90">
        <v>100000</v>
      </c>
      <c r="B15" s="95">
        <v>1507</v>
      </c>
      <c r="C15" s="93"/>
      <c r="D15" s="19" t="s">
        <v>159</v>
      </c>
      <c r="E15" s="20"/>
      <c r="F15" s="94">
        <f t="shared" si="0"/>
        <v>301.5</v>
      </c>
    </row>
    <row r="16" spans="1:6">
      <c r="A16" s="90">
        <v>200000</v>
      </c>
      <c r="B16" s="17">
        <v>2712.5</v>
      </c>
      <c r="C16" s="93"/>
      <c r="D16" s="19" t="s">
        <v>160</v>
      </c>
      <c r="E16" s="20"/>
      <c r="F16" s="94">
        <f t="shared" si="0"/>
        <v>542.4</v>
      </c>
    </row>
    <row r="17" spans="1:6">
      <c r="A17" s="90">
        <v>400000</v>
      </c>
      <c r="B17" s="17">
        <v>4882.6</v>
      </c>
      <c r="C17" s="93"/>
      <c r="D17" s="19" t="s">
        <v>161</v>
      </c>
      <c r="E17" s="20"/>
      <c r="F17" s="94">
        <f t="shared" si="0"/>
        <v>976.600000000001</v>
      </c>
    </row>
    <row r="18" spans="1:6">
      <c r="A18" s="90">
        <v>600000</v>
      </c>
      <c r="B18" s="17">
        <v>6835.6</v>
      </c>
      <c r="C18" s="93"/>
      <c r="D18" s="19" t="s">
        <v>162</v>
      </c>
      <c r="E18" s="20"/>
      <c r="F18" s="94">
        <f t="shared" si="0"/>
        <v>1367.2</v>
      </c>
    </row>
    <row r="19" spans="1:6">
      <c r="A19" s="90">
        <v>800000</v>
      </c>
      <c r="B19" s="17">
        <v>8658.4</v>
      </c>
      <c r="C19" s="93"/>
      <c r="D19" s="19" t="s">
        <v>163</v>
      </c>
      <c r="E19" s="20"/>
      <c r="F19" s="94">
        <f t="shared" si="0"/>
        <v>1731.6</v>
      </c>
    </row>
    <row r="20" spans="1:6">
      <c r="A20" s="90">
        <v>1000000</v>
      </c>
      <c r="B20" s="17">
        <v>10390.1</v>
      </c>
      <c r="C20" s="93"/>
      <c r="D20" s="19"/>
      <c r="E20" s="20"/>
      <c r="F20" s="94"/>
    </row>
    <row r="21" spans="1:6">
      <c r="A21" s="90"/>
      <c r="B21" s="17"/>
      <c r="C21" s="93"/>
      <c r="D21" s="19"/>
      <c r="E21" s="20"/>
      <c r="F21" s="94"/>
    </row>
    <row r="22" ht="15.15" spans="1:8">
      <c r="A22" s="96"/>
      <c r="B22" s="97"/>
      <c r="C22" s="98"/>
      <c r="D22" s="97"/>
      <c r="E22" s="99"/>
      <c r="F22" s="100"/>
      <c r="H22" s="12">
        <v>1407.97</v>
      </c>
    </row>
  </sheetData>
  <mergeCells count="6">
    <mergeCell ref="A1:F1"/>
    <mergeCell ref="D2:E2"/>
    <mergeCell ref="A2:A3"/>
    <mergeCell ref="B2:B3"/>
    <mergeCell ref="C2:C22"/>
    <mergeCell ref="F2:F3"/>
  </mergeCells>
  <pageMargins left="0.7" right="0.7" top="0.75" bottom="0.75" header="0.3" footer="0.3"/>
  <pageSetup paperSize="9" orientation="portrait" horizontalDpi="200" verticalDpi="300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F28" sqref="F28"/>
    </sheetView>
  </sheetViews>
  <sheetFormatPr defaultColWidth="9" defaultRowHeight="14.4"/>
  <cols>
    <col min="1" max="3" width="9" style="12"/>
    <col min="4" max="4" width="16.6296296296296" style="12" customWidth="1"/>
    <col min="5" max="5" width="16.1296296296296" style="12" customWidth="1"/>
    <col min="6" max="6" width="17.6296296296296" style="12" customWidth="1"/>
    <col min="7" max="7" width="9" style="12"/>
    <col min="8" max="8" width="12.6296296296296" style="12"/>
    <col min="9" max="9" width="9" style="12"/>
    <col min="10" max="10" width="14.8981481481481" style="86" customWidth="1"/>
    <col min="11" max="16384" width="9" style="12"/>
  </cols>
  <sheetData>
    <row r="1" ht="20.4" spans="1:9">
      <c r="A1" s="87" t="s">
        <v>165</v>
      </c>
      <c r="B1" s="88"/>
      <c r="C1" s="88"/>
      <c r="D1" s="88"/>
      <c r="E1" s="88"/>
      <c r="F1" s="89"/>
      <c r="H1" s="12" t="s">
        <v>167</v>
      </c>
      <c r="I1" s="12" t="s">
        <v>168</v>
      </c>
    </row>
    <row r="2" spans="1:12">
      <c r="A2" s="90" t="s">
        <v>122</v>
      </c>
      <c r="B2" s="17" t="s">
        <v>123</v>
      </c>
      <c r="C2" s="91"/>
      <c r="D2" s="18" t="s">
        <v>122</v>
      </c>
      <c r="E2" s="18"/>
      <c r="F2" s="92" t="s">
        <v>124</v>
      </c>
      <c r="H2" s="90" t="s">
        <v>122</v>
      </c>
      <c r="I2" s="86" t="s">
        <v>169</v>
      </c>
      <c r="J2" s="86" t="s">
        <v>125</v>
      </c>
      <c r="K2" s="86" t="s">
        <v>126</v>
      </c>
      <c r="L2" s="86" t="s">
        <v>170</v>
      </c>
    </row>
    <row r="3" spans="1:12">
      <c r="A3" s="90"/>
      <c r="B3" s="17"/>
      <c r="C3" s="93"/>
      <c r="D3" s="18" t="s">
        <v>125</v>
      </c>
      <c r="E3" s="18" t="s">
        <v>126</v>
      </c>
      <c r="F3" s="92"/>
      <c r="H3" s="90"/>
      <c r="I3" s="86"/>
      <c r="K3" s="86"/>
      <c r="L3" s="86"/>
    </row>
    <row r="4" spans="1:12">
      <c r="A4" s="90"/>
      <c r="B4" s="17"/>
      <c r="C4" s="93"/>
      <c r="D4" s="19" t="s">
        <v>166</v>
      </c>
      <c r="E4" s="20"/>
      <c r="F4" s="94">
        <f>B4+(E4-A4)*(B5-B4)/(A5-A4)</f>
        <v>0</v>
      </c>
      <c r="H4" s="12">
        <v>500</v>
      </c>
      <c r="I4" s="101">
        <v>0.04</v>
      </c>
      <c r="J4" s="102" t="s">
        <v>171</v>
      </c>
      <c r="K4" s="103"/>
      <c r="L4" s="12">
        <f>K4*I4</f>
        <v>0</v>
      </c>
    </row>
    <row r="5" spans="1:14">
      <c r="A5" s="90">
        <v>500</v>
      </c>
      <c r="B5" s="17">
        <v>16.5</v>
      </c>
      <c r="C5" s="93"/>
      <c r="D5" s="19" t="s">
        <v>146</v>
      </c>
      <c r="E5" s="20"/>
      <c r="F5" s="94">
        <f t="shared" ref="F5:F19" si="0">B5+(B6-B5)/(A6-A5)*(E5-A5)</f>
        <v>2.9</v>
      </c>
      <c r="H5" s="12">
        <v>1000</v>
      </c>
      <c r="I5" s="104">
        <v>0.038</v>
      </c>
      <c r="J5" s="105" t="s">
        <v>172</v>
      </c>
      <c r="K5" s="103"/>
      <c r="L5" s="12">
        <f>H4*I4+(K5-H4)*I5</f>
        <v>1</v>
      </c>
      <c r="N5" s="12">
        <f>500*0.04+100*0.038</f>
        <v>23.8</v>
      </c>
    </row>
    <row r="6" spans="1:12">
      <c r="A6" s="90">
        <v>1000</v>
      </c>
      <c r="B6" s="17">
        <v>30.1</v>
      </c>
      <c r="C6" s="93"/>
      <c r="D6" s="19" t="s">
        <v>129</v>
      </c>
      <c r="E6" s="20"/>
      <c r="F6" s="94">
        <f t="shared" si="0"/>
        <v>6.1</v>
      </c>
      <c r="H6" s="12">
        <v>3000</v>
      </c>
      <c r="I6" s="104">
        <v>0.036</v>
      </c>
      <c r="J6" s="105" t="s">
        <v>173</v>
      </c>
      <c r="K6" s="103"/>
      <c r="L6" s="12">
        <f>H4*I4+(H5-H4)*I5+(K6-H5)*I6</f>
        <v>3</v>
      </c>
    </row>
    <row r="7" spans="1:12">
      <c r="A7" s="90">
        <v>3000</v>
      </c>
      <c r="B7" s="17">
        <v>78.1</v>
      </c>
      <c r="C7" s="93"/>
      <c r="D7" s="19" t="s">
        <v>149</v>
      </c>
      <c r="E7" s="20"/>
      <c r="F7" s="94">
        <f t="shared" si="0"/>
        <v>14.05</v>
      </c>
      <c r="H7" s="12">
        <v>5000</v>
      </c>
      <c r="I7" s="104">
        <v>0.034</v>
      </c>
      <c r="J7" s="105" t="s">
        <v>149</v>
      </c>
      <c r="K7" s="103"/>
      <c r="L7" s="12">
        <f>(H4*I4)+H5*I5+(H6-H5)*I6+(K7-H6)*I7</f>
        <v>28</v>
      </c>
    </row>
    <row r="8" spans="1:11">
      <c r="A8" s="90">
        <v>5000</v>
      </c>
      <c r="B8" s="17">
        <v>120.8</v>
      </c>
      <c r="C8" s="93"/>
      <c r="D8" s="19" t="s">
        <v>150</v>
      </c>
      <c r="E8" s="20"/>
      <c r="F8" s="94">
        <f t="shared" si="0"/>
        <v>20.4666666666667</v>
      </c>
      <c r="H8" s="12">
        <v>8000</v>
      </c>
      <c r="I8" s="104">
        <v>0.032</v>
      </c>
      <c r="J8" s="105" t="s">
        <v>150</v>
      </c>
      <c r="K8" s="103"/>
    </row>
    <row r="9" spans="1:11">
      <c r="A9" s="90">
        <v>8000</v>
      </c>
      <c r="B9" s="95">
        <v>181</v>
      </c>
      <c r="C9" s="93"/>
      <c r="D9" s="19" t="s">
        <v>153</v>
      </c>
      <c r="E9" s="20"/>
      <c r="F9" s="94">
        <f t="shared" si="0"/>
        <v>30.6</v>
      </c>
      <c r="H9" s="12">
        <v>10000</v>
      </c>
      <c r="I9" s="101">
        <v>0.03</v>
      </c>
      <c r="J9" s="105" t="s">
        <v>153</v>
      </c>
      <c r="K9" s="103"/>
    </row>
    <row r="10" spans="1:11">
      <c r="A10" s="90">
        <v>10000</v>
      </c>
      <c r="B10" s="17">
        <v>218.6</v>
      </c>
      <c r="C10" s="93"/>
      <c r="D10" s="19" t="s">
        <v>154</v>
      </c>
      <c r="E10" s="20"/>
      <c r="F10" s="94">
        <f t="shared" si="0"/>
        <v>43.8</v>
      </c>
      <c r="H10" s="12">
        <v>20000</v>
      </c>
      <c r="I10" s="104">
        <v>0.0275</v>
      </c>
      <c r="J10" s="105" t="s">
        <v>154</v>
      </c>
      <c r="K10" s="103"/>
    </row>
    <row r="11" spans="1:11">
      <c r="A11" s="90">
        <v>20000</v>
      </c>
      <c r="B11" s="17">
        <v>393.4</v>
      </c>
      <c r="C11" s="93"/>
      <c r="D11" s="19" t="s">
        <v>155</v>
      </c>
      <c r="E11" s="20"/>
      <c r="F11" s="94">
        <f t="shared" si="0"/>
        <v>78.5999999999999</v>
      </c>
      <c r="H11" s="12">
        <v>40000</v>
      </c>
      <c r="I11" s="104">
        <v>0.025</v>
      </c>
      <c r="J11" s="105" t="s">
        <v>155</v>
      </c>
      <c r="K11" s="103"/>
    </row>
    <row r="12" spans="1:11">
      <c r="A12" s="90">
        <v>40000</v>
      </c>
      <c r="B12" s="17">
        <v>708.2</v>
      </c>
      <c r="C12" s="93"/>
      <c r="D12" s="19" t="s">
        <v>156</v>
      </c>
      <c r="E12" s="20"/>
      <c r="F12" s="94">
        <f t="shared" si="0"/>
        <v>141.8</v>
      </c>
      <c r="H12" s="12">
        <v>80000</v>
      </c>
      <c r="I12" s="101">
        <v>0.02</v>
      </c>
      <c r="J12" s="105" t="s">
        <v>174</v>
      </c>
      <c r="K12" s="103"/>
    </row>
    <row r="13" spans="1:11">
      <c r="A13" s="90">
        <v>60000</v>
      </c>
      <c r="B13" s="17">
        <v>991.4</v>
      </c>
      <c r="C13" s="93"/>
      <c r="D13" s="19" t="s">
        <v>157</v>
      </c>
      <c r="E13" s="20"/>
      <c r="F13" s="94">
        <f t="shared" si="0"/>
        <v>198.2</v>
      </c>
      <c r="H13" s="12">
        <v>100000</v>
      </c>
      <c r="I13" s="104">
        <v>0.018</v>
      </c>
      <c r="J13" s="105" t="s">
        <v>158</v>
      </c>
      <c r="K13" s="103"/>
    </row>
    <row r="14" spans="1:11">
      <c r="A14" s="90">
        <v>80000</v>
      </c>
      <c r="B14" s="17">
        <v>1255.8</v>
      </c>
      <c r="C14" s="93"/>
      <c r="D14" s="19" t="s">
        <v>158</v>
      </c>
      <c r="E14" s="20"/>
      <c r="F14" s="94">
        <f t="shared" si="0"/>
        <v>251</v>
      </c>
      <c r="H14" s="12">
        <v>200000</v>
      </c>
      <c r="I14" s="104">
        <v>0.016</v>
      </c>
      <c r="J14" s="105" t="s">
        <v>175</v>
      </c>
      <c r="K14" s="103"/>
    </row>
    <row r="15" spans="1:11">
      <c r="A15" s="90">
        <v>100000</v>
      </c>
      <c r="B15" s="95">
        <v>1507</v>
      </c>
      <c r="C15" s="93"/>
      <c r="D15" s="19" t="s">
        <v>159</v>
      </c>
      <c r="E15" s="20"/>
      <c r="F15" s="94">
        <f t="shared" si="0"/>
        <v>301.5</v>
      </c>
      <c r="H15" s="12">
        <v>400000</v>
      </c>
      <c r="I15" s="104">
        <v>0.015</v>
      </c>
      <c r="J15" s="105" t="s">
        <v>176</v>
      </c>
      <c r="K15" s="103"/>
    </row>
    <row r="16" spans="1:11">
      <c r="A16" s="90">
        <v>200000</v>
      </c>
      <c r="B16" s="17">
        <v>2712.5</v>
      </c>
      <c r="C16" s="93"/>
      <c r="D16" s="19" t="s">
        <v>160</v>
      </c>
      <c r="E16" s="20"/>
      <c r="F16" s="94">
        <f t="shared" si="0"/>
        <v>542.4</v>
      </c>
      <c r="H16" s="12">
        <v>600000</v>
      </c>
      <c r="I16" s="104">
        <v>0.013</v>
      </c>
      <c r="J16" s="105" t="s">
        <v>177</v>
      </c>
      <c r="K16" s="103"/>
    </row>
    <row r="17" spans="1:11">
      <c r="A17" s="90">
        <v>400000</v>
      </c>
      <c r="B17" s="17">
        <v>4882.6</v>
      </c>
      <c r="C17" s="93"/>
      <c r="D17" s="19" t="s">
        <v>161</v>
      </c>
      <c r="E17" s="20"/>
      <c r="F17" s="94">
        <f t="shared" si="0"/>
        <v>976.600000000001</v>
      </c>
      <c r="H17" s="12">
        <v>800000</v>
      </c>
      <c r="I17" s="104">
        <v>0.012</v>
      </c>
      <c r="J17" s="105" t="s">
        <v>178</v>
      </c>
      <c r="K17" s="103"/>
    </row>
    <row r="18" spans="1:11">
      <c r="A18" s="90">
        <v>600000</v>
      </c>
      <c r="B18" s="17">
        <v>6835.6</v>
      </c>
      <c r="C18" s="93"/>
      <c r="D18" s="19" t="s">
        <v>162</v>
      </c>
      <c r="E18" s="20"/>
      <c r="F18" s="94">
        <f t="shared" si="0"/>
        <v>1367.2</v>
      </c>
      <c r="H18" s="12" t="s">
        <v>179</v>
      </c>
      <c r="I18" s="101">
        <v>0.01</v>
      </c>
      <c r="J18" s="105" t="s">
        <v>180</v>
      </c>
      <c r="K18" s="103"/>
    </row>
    <row r="19" spans="1:11">
      <c r="A19" s="90">
        <v>800000</v>
      </c>
      <c r="B19" s="17">
        <v>8658.4</v>
      </c>
      <c r="C19" s="93"/>
      <c r="D19" s="19" t="s">
        <v>163</v>
      </c>
      <c r="E19" s="20"/>
      <c r="F19" s="94">
        <f t="shared" si="0"/>
        <v>1731.6</v>
      </c>
      <c r="J19" s="19"/>
      <c r="K19" s="103"/>
    </row>
    <row r="20" spans="1:11">
      <c r="A20" s="90">
        <v>1000000</v>
      </c>
      <c r="B20" s="17">
        <v>10390.1</v>
      </c>
      <c r="C20" s="93"/>
      <c r="D20" s="19"/>
      <c r="E20" s="20"/>
      <c r="F20" s="94"/>
      <c r="K20" s="103"/>
    </row>
    <row r="21" spans="1:11">
      <c r="A21" s="90"/>
      <c r="B21" s="17"/>
      <c r="C21" s="93"/>
      <c r="D21" s="19"/>
      <c r="E21" s="20"/>
      <c r="F21" s="94"/>
      <c r="K21" s="103"/>
    </row>
    <row r="22" ht="15.15" spans="1:11">
      <c r="A22" s="96"/>
      <c r="B22" s="97"/>
      <c r="C22" s="98"/>
      <c r="D22" s="97"/>
      <c r="E22" s="99"/>
      <c r="F22" s="100"/>
      <c r="H22" s="12">
        <v>1407.97</v>
      </c>
      <c r="K22" s="103"/>
    </row>
  </sheetData>
  <mergeCells count="11">
    <mergeCell ref="A1:F1"/>
    <mergeCell ref="D2:E2"/>
    <mergeCell ref="A2:A3"/>
    <mergeCell ref="B2:B3"/>
    <mergeCell ref="C2:C22"/>
    <mergeCell ref="F2:F3"/>
    <mergeCell ref="H2:H3"/>
    <mergeCell ref="I2:I3"/>
    <mergeCell ref="J2:J3"/>
    <mergeCell ref="K2:K3"/>
    <mergeCell ref="L2:L3"/>
  </mergeCells>
  <pageMargins left="0.7" right="0.7" top="0.75" bottom="0.75" header="0.3" footer="0.3"/>
  <pageSetup paperSize="9" orientation="portrait" horizontalDpi="200" verticalDpi="300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zoomScale="85" zoomScaleNormal="85" workbookViewId="0">
      <selection activeCell="E28" sqref="E28:M28"/>
    </sheetView>
  </sheetViews>
  <sheetFormatPr defaultColWidth="9" defaultRowHeight="15.6"/>
  <cols>
    <col min="1" max="1" width="9" style="1"/>
    <col min="2" max="2" width="10.4351851851852" style="1" customWidth="1"/>
    <col min="3" max="3" width="16.462962962963" style="1" customWidth="1"/>
    <col min="4" max="4" width="11.7685185185185" style="1" customWidth="1"/>
    <col min="5" max="12" width="9" style="1"/>
    <col min="13" max="13" width="11.462962962963" style="1" customWidth="1"/>
    <col min="14" max="14" width="12.4907407407407" style="1" customWidth="1"/>
    <col min="15" max="15" width="14.4166666666667" style="1" customWidth="1"/>
    <col min="16" max="16384" width="9" style="1"/>
  </cols>
  <sheetData>
    <row r="1" ht="26.55" spans="1:17">
      <c r="A1" s="25" t="s">
        <v>181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66" t="s">
        <v>182</v>
      </c>
      <c r="O1" s="66"/>
      <c r="P1" s="66"/>
      <c r="Q1" s="66"/>
    </row>
    <row r="2" ht="20.4" spans="1:17">
      <c r="A2" s="26" t="s">
        <v>2</v>
      </c>
      <c r="B2" s="27" t="s">
        <v>183</v>
      </c>
      <c r="C2" s="27"/>
      <c r="D2" s="27" t="s">
        <v>184</v>
      </c>
      <c r="E2" s="28" t="s">
        <v>185</v>
      </c>
      <c r="F2" s="28"/>
      <c r="G2" s="28"/>
      <c r="H2" s="28"/>
      <c r="I2" s="28"/>
      <c r="J2" s="28"/>
      <c r="K2" s="28"/>
      <c r="L2" s="28"/>
      <c r="M2" s="28"/>
      <c r="N2" s="67" t="s">
        <v>186</v>
      </c>
      <c r="O2" s="68" t="s">
        <v>187</v>
      </c>
      <c r="P2" s="68" t="s">
        <v>188</v>
      </c>
      <c r="Q2" s="83" t="s">
        <v>189</v>
      </c>
    </row>
    <row r="3" spans="1:17">
      <c r="A3" s="29"/>
      <c r="B3" s="30"/>
      <c r="C3" s="30"/>
      <c r="D3" s="30"/>
      <c r="E3" s="30" t="s">
        <v>190</v>
      </c>
      <c r="F3" s="30"/>
      <c r="G3" s="30" t="s">
        <v>191</v>
      </c>
      <c r="H3" s="30"/>
      <c r="I3" s="30" t="s">
        <v>192</v>
      </c>
      <c r="J3" s="30"/>
      <c r="K3" s="30" t="s">
        <v>193</v>
      </c>
      <c r="L3" s="30"/>
      <c r="M3" s="30" t="s">
        <v>194</v>
      </c>
      <c r="N3" s="69"/>
      <c r="O3" s="70"/>
      <c r="P3" s="70"/>
      <c r="Q3" s="84"/>
    </row>
    <row r="4" spans="1:17">
      <c r="A4" s="29"/>
      <c r="B4" s="30"/>
      <c r="C4" s="30"/>
      <c r="D4" s="30"/>
      <c r="E4" s="30" t="s">
        <v>195</v>
      </c>
      <c r="F4" s="30"/>
      <c r="G4" s="30" t="s">
        <v>195</v>
      </c>
      <c r="H4" s="30"/>
      <c r="I4" s="30" t="s">
        <v>195</v>
      </c>
      <c r="J4" s="30"/>
      <c r="K4" s="30" t="s">
        <v>195</v>
      </c>
      <c r="L4" s="30"/>
      <c r="M4" s="30"/>
      <c r="N4" s="69"/>
      <c r="O4" s="70"/>
      <c r="P4" s="70"/>
      <c r="Q4" s="84"/>
    </row>
    <row r="5" spans="1:17">
      <c r="A5" s="31">
        <v>1</v>
      </c>
      <c r="B5" s="32" t="s">
        <v>196</v>
      </c>
      <c r="C5" s="33"/>
      <c r="D5" s="34" t="s">
        <v>197</v>
      </c>
      <c r="E5" s="35">
        <v>2</v>
      </c>
      <c r="F5" s="35"/>
      <c r="G5" s="35">
        <v>1.7</v>
      </c>
      <c r="H5" s="35"/>
      <c r="I5" s="35">
        <v>1.3</v>
      </c>
      <c r="J5" s="35"/>
      <c r="K5" s="35">
        <v>0.5</v>
      </c>
      <c r="L5" s="35"/>
      <c r="M5" s="35">
        <v>0.2</v>
      </c>
      <c r="N5" s="71"/>
      <c r="O5" s="72">
        <f t="shared" ref="O5:O9" si="0">IF(N5&lt;=500,N5*E5/1000,IF(N5&lt;=3000,500*E5/1000+(N5-500)*G5/1000,IF(N5&lt;=6000,500*E5/1000+(3000-500)*G5/1000+(N5-3000)*I5/1000,IF(N5&lt;=10000,500*E5/1000+(3000-500)*G5/1000+(6000-3000)*I5/1000+(N5-6000)*K5/1000,IF(N5&lt;999999,500*E5/1000+(3000-500)*G5/1000+(6000-3000)*I5/1000+(10000-6000)*K5/1000+(N5-10000)*M5/1000)))))</f>
        <v>0</v>
      </c>
      <c r="P5" s="73">
        <v>1</v>
      </c>
      <c r="Q5" s="85">
        <f t="shared" ref="Q5:Q9" si="1">O5*P5</f>
        <v>0</v>
      </c>
    </row>
    <row r="6" spans="1:17">
      <c r="A6" s="31"/>
      <c r="B6" s="36"/>
      <c r="C6" s="37"/>
      <c r="D6" s="34"/>
      <c r="E6" s="35"/>
      <c r="F6" s="35"/>
      <c r="G6" s="35"/>
      <c r="H6" s="35"/>
      <c r="I6" s="35"/>
      <c r="J6" s="35"/>
      <c r="K6" s="35"/>
      <c r="L6" s="35"/>
      <c r="M6" s="35"/>
      <c r="N6" s="71"/>
      <c r="O6" s="72"/>
      <c r="P6" s="74"/>
      <c r="Q6" s="85"/>
    </row>
    <row r="7" spans="1:17">
      <c r="A7" s="31">
        <v>2</v>
      </c>
      <c r="B7" s="32" t="s">
        <v>198</v>
      </c>
      <c r="C7" s="33"/>
      <c r="D7" s="34" t="s">
        <v>199</v>
      </c>
      <c r="E7" s="35">
        <v>1</v>
      </c>
      <c r="F7" s="35"/>
      <c r="G7" s="35">
        <v>0.8</v>
      </c>
      <c r="H7" s="35"/>
      <c r="I7" s="35">
        <v>0.6</v>
      </c>
      <c r="J7" s="35"/>
      <c r="K7" s="35">
        <v>0.4</v>
      </c>
      <c r="L7" s="35"/>
      <c r="M7" s="35">
        <v>0.2</v>
      </c>
      <c r="N7" s="71"/>
      <c r="O7" s="72">
        <f t="shared" si="0"/>
        <v>0</v>
      </c>
      <c r="P7" s="73">
        <v>1</v>
      </c>
      <c r="Q7" s="85">
        <f t="shared" si="1"/>
        <v>0</v>
      </c>
    </row>
    <row r="8" spans="1:17">
      <c r="A8" s="31"/>
      <c r="B8" s="36"/>
      <c r="C8" s="37"/>
      <c r="D8" s="34"/>
      <c r="E8" s="35"/>
      <c r="F8" s="35"/>
      <c r="G8" s="35"/>
      <c r="H8" s="35"/>
      <c r="I8" s="35"/>
      <c r="J8" s="35"/>
      <c r="K8" s="35"/>
      <c r="L8" s="35"/>
      <c r="M8" s="35"/>
      <c r="N8" s="71"/>
      <c r="O8" s="72"/>
      <c r="P8" s="74"/>
      <c r="Q8" s="85"/>
    </row>
    <row r="9" spans="1:17">
      <c r="A9" s="31" t="s">
        <v>200</v>
      </c>
      <c r="B9" s="32" t="s">
        <v>201</v>
      </c>
      <c r="C9" s="33"/>
      <c r="D9" s="34" t="s">
        <v>199</v>
      </c>
      <c r="E9" s="35">
        <v>4.5</v>
      </c>
      <c r="F9" s="35"/>
      <c r="G9" s="35">
        <v>3.5</v>
      </c>
      <c r="H9" s="35"/>
      <c r="I9" s="35">
        <v>2.5</v>
      </c>
      <c r="J9" s="35"/>
      <c r="K9" s="35">
        <v>1.2</v>
      </c>
      <c r="L9" s="35"/>
      <c r="M9" s="35">
        <v>0.5</v>
      </c>
      <c r="N9" s="71">
        <f>清单!G5</f>
        <v>24004.214513</v>
      </c>
      <c r="O9" s="72">
        <f t="shared" si="0"/>
        <v>30.3021072565</v>
      </c>
      <c r="P9" s="73">
        <v>1</v>
      </c>
      <c r="Q9" s="85">
        <f t="shared" si="1"/>
        <v>30.3021072565</v>
      </c>
    </row>
    <row r="10" spans="1:17">
      <c r="A10" s="31"/>
      <c r="B10" s="36"/>
      <c r="C10" s="37"/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71"/>
      <c r="O10" s="72"/>
      <c r="P10" s="74"/>
      <c r="Q10" s="85"/>
    </row>
    <row r="11" ht="20" customHeight="1" spans="1:17">
      <c r="A11" s="31"/>
      <c r="B11" s="32" t="s">
        <v>202</v>
      </c>
      <c r="C11" s="33"/>
      <c r="D11" s="38" t="s">
        <v>199</v>
      </c>
      <c r="E11" s="39">
        <v>3.5</v>
      </c>
      <c r="F11" s="40"/>
      <c r="G11" s="39">
        <v>2.3</v>
      </c>
      <c r="H11" s="40"/>
      <c r="I11" s="39">
        <v>1.2</v>
      </c>
      <c r="J11" s="40"/>
      <c r="K11" s="39">
        <v>0.8</v>
      </c>
      <c r="L11" s="40"/>
      <c r="M11" s="75">
        <v>0.5</v>
      </c>
      <c r="N11" s="71">
        <f>清单!G5</f>
        <v>24004.214513</v>
      </c>
      <c r="O11" s="72">
        <f>IF(N11&lt;=500,N11*E11/1000,IF(N11&lt;=3000,500*E11/1000+(N11-500)*G11/1000,IF(N11&lt;=6000,500*E11/1000+(3000-500)*G11/1000+(N11-3000)*I11/1000,IF(N11&lt;=10000,500*E11/1000+(3000-500)*G11/1000+(6000-3000)*I11/1000+(N11-6000)*K11/1000,IF(N11&lt;999999,500*E11/1000+(3000-500)*G11/1000+(6000-3000)*I11/1000+(10000-6000)*K11/1000+(N11-10000)*M11/1000)))))</f>
        <v>21.3021072565</v>
      </c>
      <c r="P11" s="73">
        <v>1</v>
      </c>
      <c r="Q11" s="85">
        <f t="shared" ref="Q11:Q15" si="2">O11*P11</f>
        <v>21.3021072565</v>
      </c>
    </row>
    <row r="12" ht="20" customHeight="1" spans="1:17">
      <c r="A12" s="31"/>
      <c r="B12" s="36"/>
      <c r="C12" s="37"/>
      <c r="D12" s="41"/>
      <c r="E12" s="42"/>
      <c r="F12" s="43"/>
      <c r="G12" s="42"/>
      <c r="H12" s="43"/>
      <c r="I12" s="42"/>
      <c r="J12" s="43"/>
      <c r="K12" s="42"/>
      <c r="L12" s="43"/>
      <c r="M12" s="76"/>
      <c r="N12" s="71"/>
      <c r="O12" s="72"/>
      <c r="P12" s="74"/>
      <c r="Q12" s="85"/>
    </row>
    <row r="13" spans="1:17">
      <c r="A13" s="31"/>
      <c r="B13" s="44" t="s">
        <v>203</v>
      </c>
      <c r="C13" s="34" t="s">
        <v>204</v>
      </c>
      <c r="D13" s="38" t="s">
        <v>205</v>
      </c>
      <c r="E13" s="35">
        <v>5</v>
      </c>
      <c r="F13" s="35"/>
      <c r="G13" s="35">
        <v>4</v>
      </c>
      <c r="H13" s="35"/>
      <c r="I13" s="35">
        <v>1.5</v>
      </c>
      <c r="J13" s="35"/>
      <c r="K13" s="35">
        <v>0.8</v>
      </c>
      <c r="L13" s="35"/>
      <c r="M13" s="35">
        <v>0.3</v>
      </c>
      <c r="N13" s="71"/>
      <c r="O13" s="72">
        <f>IF(N13&lt;=500,N13*E13/1000,IF(N13&lt;=3000,500*E13/1000+(N13-500)*G13/1000,IF(N13&lt;=6000,500*E13/1000+(3000-500)*G13/1000+(N13-3000)*I13/1000,IF(N13&lt;=10000,500*E13/1000+(3000-500)*G13/1000+(6000-3000)*I13/1000+(N13-6000)*K13/1000,IF(N13&lt;999999,500*E13/1000+(3000-500)*G13/1000+(6000-3000)*I13/1000+(10000-6000)*K13/1000+(N13-10000)*M13/1000)))))</f>
        <v>0</v>
      </c>
      <c r="P13" s="73">
        <v>1</v>
      </c>
      <c r="Q13" s="85">
        <f t="shared" si="2"/>
        <v>0</v>
      </c>
    </row>
    <row r="14" spans="1:17">
      <c r="A14" s="31"/>
      <c r="B14" s="45"/>
      <c r="C14" s="34"/>
      <c r="D14" s="41"/>
      <c r="E14" s="35"/>
      <c r="F14" s="35"/>
      <c r="G14" s="35"/>
      <c r="H14" s="35"/>
      <c r="I14" s="35"/>
      <c r="J14" s="35"/>
      <c r="K14" s="35"/>
      <c r="L14" s="35"/>
      <c r="M14" s="35"/>
      <c r="N14" s="71"/>
      <c r="O14" s="72"/>
      <c r="P14" s="74"/>
      <c r="Q14" s="85"/>
    </row>
    <row r="15" spans="1:17">
      <c r="A15" s="31"/>
      <c r="B15" s="45"/>
      <c r="C15" s="38" t="s">
        <v>206</v>
      </c>
      <c r="D15" s="34" t="s">
        <v>207</v>
      </c>
      <c r="E15" s="46">
        <v>0.08</v>
      </c>
      <c r="F15" s="47"/>
      <c r="G15" s="47"/>
      <c r="H15" s="47"/>
      <c r="I15" s="47"/>
      <c r="J15" s="47"/>
      <c r="K15" s="47"/>
      <c r="L15" s="47"/>
      <c r="M15" s="77"/>
      <c r="N15" s="71"/>
      <c r="O15" s="72">
        <f>N15*0.08</f>
        <v>0</v>
      </c>
      <c r="P15" s="73">
        <v>1</v>
      </c>
      <c r="Q15" s="85">
        <f t="shared" si="2"/>
        <v>0</v>
      </c>
    </row>
    <row r="16" spans="1:17">
      <c r="A16" s="31"/>
      <c r="B16" s="48"/>
      <c r="C16" s="41"/>
      <c r="D16" s="34"/>
      <c r="E16" s="49"/>
      <c r="F16" s="50"/>
      <c r="G16" s="50"/>
      <c r="H16" s="50"/>
      <c r="I16" s="50"/>
      <c r="J16" s="50"/>
      <c r="K16" s="50"/>
      <c r="L16" s="50"/>
      <c r="M16" s="78"/>
      <c r="N16" s="71"/>
      <c r="O16" s="72"/>
      <c r="P16" s="74"/>
      <c r="Q16" s="85"/>
    </row>
    <row r="17" spans="1:17">
      <c r="A17" s="51" t="s">
        <v>208</v>
      </c>
      <c r="B17" s="32" t="s">
        <v>209</v>
      </c>
      <c r="C17" s="33"/>
      <c r="D17" s="38" t="s">
        <v>199</v>
      </c>
      <c r="E17" s="35">
        <v>5</v>
      </c>
      <c r="F17" s="35"/>
      <c r="G17" s="35">
        <v>4</v>
      </c>
      <c r="H17" s="35"/>
      <c r="I17" s="35">
        <v>1.5</v>
      </c>
      <c r="J17" s="35"/>
      <c r="K17" s="35">
        <v>0.5</v>
      </c>
      <c r="L17" s="35"/>
      <c r="M17" s="35">
        <v>0.2</v>
      </c>
      <c r="N17" s="71">
        <v>0</v>
      </c>
      <c r="O17" s="72">
        <f t="shared" ref="O17:O21" si="3">IF(N17&lt;=500,N17*E17/1000,IF(N17&lt;=3000,500*E17/1000+(N17-500)*G17/1000,IF(N17&lt;=6000,500*E17/1000+(3000-500)*G17/1000+(N17-3000)*I17/1000,IF(N17&lt;=10000,500*E17/1000+(3000-500)*G17/1000+(6000-3000)*I17/1000+(N17-6000)*K17/1000,IF(N17&lt;999999,500*E17/1000+(3000-500)*G17/1000+(6000-3000)*I17/1000+(10000-6000)*K17/1000+(N17-10000)*M17/1000)))))</f>
        <v>0</v>
      </c>
      <c r="P17" s="73">
        <v>1</v>
      </c>
      <c r="Q17" s="85">
        <f t="shared" ref="Q17:Q21" si="4">O17*P17</f>
        <v>0</v>
      </c>
    </row>
    <row r="18" spans="1:17">
      <c r="A18" s="51"/>
      <c r="B18" s="36"/>
      <c r="C18" s="52"/>
      <c r="D18" s="53"/>
      <c r="E18" s="35"/>
      <c r="F18" s="35"/>
      <c r="G18" s="35"/>
      <c r="H18" s="35"/>
      <c r="I18" s="35"/>
      <c r="J18" s="35"/>
      <c r="K18" s="35"/>
      <c r="L18" s="35"/>
      <c r="M18" s="35"/>
      <c r="N18" s="71"/>
      <c r="O18" s="72"/>
      <c r="P18" s="74"/>
      <c r="Q18" s="85"/>
    </row>
    <row r="19" ht="30" customHeight="1" spans="1:17">
      <c r="A19" s="51"/>
      <c r="B19" s="32" t="s">
        <v>210</v>
      </c>
      <c r="C19" s="54" t="s">
        <v>204</v>
      </c>
      <c r="D19" s="55" t="s">
        <v>211</v>
      </c>
      <c r="E19" s="35">
        <v>5</v>
      </c>
      <c r="F19" s="35"/>
      <c r="G19" s="35">
        <v>4</v>
      </c>
      <c r="H19" s="35"/>
      <c r="I19" s="35">
        <v>1.5</v>
      </c>
      <c r="J19" s="35"/>
      <c r="K19" s="35">
        <v>0.5</v>
      </c>
      <c r="L19" s="35"/>
      <c r="M19" s="35">
        <v>0.2</v>
      </c>
      <c r="N19" s="71">
        <v>0</v>
      </c>
      <c r="O19" s="72">
        <f t="shared" si="3"/>
        <v>0</v>
      </c>
      <c r="P19" s="73">
        <v>1</v>
      </c>
      <c r="Q19" s="85">
        <f t="shared" si="4"/>
        <v>0</v>
      </c>
    </row>
    <row r="20" ht="32" customHeight="1" spans="1:17">
      <c r="A20" s="51"/>
      <c r="B20" s="32"/>
      <c r="C20" s="56" t="s">
        <v>206</v>
      </c>
      <c r="D20" s="34" t="s">
        <v>207</v>
      </c>
      <c r="E20" s="57">
        <v>0.08</v>
      </c>
      <c r="F20" s="58"/>
      <c r="G20" s="58"/>
      <c r="H20" s="58"/>
      <c r="I20" s="58"/>
      <c r="J20" s="58"/>
      <c r="K20" s="58"/>
      <c r="L20" s="58"/>
      <c r="M20" s="58"/>
      <c r="N20" s="71">
        <v>0</v>
      </c>
      <c r="O20" s="72">
        <f>N20*E20</f>
        <v>0</v>
      </c>
      <c r="P20" s="73">
        <v>1</v>
      </c>
      <c r="Q20" s="85">
        <f t="shared" si="4"/>
        <v>0</v>
      </c>
    </row>
    <row r="21" spans="1:17">
      <c r="A21" s="51">
        <v>5</v>
      </c>
      <c r="B21" s="59" t="s">
        <v>59</v>
      </c>
      <c r="C21" s="59"/>
      <c r="D21" s="53" t="s">
        <v>199</v>
      </c>
      <c r="E21" s="35">
        <v>12</v>
      </c>
      <c r="F21" s="35"/>
      <c r="G21" s="35">
        <v>9</v>
      </c>
      <c r="H21" s="35"/>
      <c r="I21" s="35">
        <v>7.5</v>
      </c>
      <c r="J21" s="35"/>
      <c r="K21" s="35">
        <v>6</v>
      </c>
      <c r="L21" s="35"/>
      <c r="M21" s="35">
        <v>4</v>
      </c>
      <c r="N21" s="71"/>
      <c r="O21" s="72">
        <f t="shared" si="3"/>
        <v>0</v>
      </c>
      <c r="P21" s="73">
        <v>1</v>
      </c>
      <c r="Q21" s="85">
        <f t="shared" si="4"/>
        <v>0</v>
      </c>
    </row>
    <row r="22" spans="1:17">
      <c r="A22" s="60"/>
      <c r="B22" s="59"/>
      <c r="C22" s="59"/>
      <c r="D22" s="61"/>
      <c r="E22" s="35"/>
      <c r="F22" s="35"/>
      <c r="G22" s="35"/>
      <c r="H22" s="35"/>
      <c r="I22" s="35"/>
      <c r="J22" s="35"/>
      <c r="K22" s="35"/>
      <c r="L22" s="35"/>
      <c r="M22" s="35"/>
      <c r="N22" s="71"/>
      <c r="O22" s="72"/>
      <c r="P22" s="74"/>
      <c r="Q22" s="85"/>
    </row>
    <row r="23" spans="1:17">
      <c r="A23" s="51">
        <v>6</v>
      </c>
      <c r="B23" s="59" t="s">
        <v>212</v>
      </c>
      <c r="C23" s="59"/>
      <c r="D23" s="53" t="s">
        <v>213</v>
      </c>
      <c r="E23" s="62">
        <v>3</v>
      </c>
      <c r="F23" s="62"/>
      <c r="G23" s="62"/>
      <c r="H23" s="62"/>
      <c r="I23" s="62"/>
      <c r="J23" s="62"/>
      <c r="K23" s="62"/>
      <c r="L23" s="62"/>
      <c r="M23" s="62"/>
      <c r="N23" s="79">
        <v>0</v>
      </c>
      <c r="O23" s="72">
        <f>N23*E23/1000</f>
        <v>0</v>
      </c>
      <c r="P23" s="73">
        <v>1</v>
      </c>
      <c r="Q23" s="85">
        <f t="shared" ref="Q23:Q28" si="5">O23*P23</f>
        <v>0</v>
      </c>
    </row>
    <row r="24" spans="1:17">
      <c r="A24" s="60"/>
      <c r="B24" s="59"/>
      <c r="C24" s="59"/>
      <c r="D24" s="61"/>
      <c r="E24" s="62"/>
      <c r="F24" s="62"/>
      <c r="G24" s="62"/>
      <c r="H24" s="62"/>
      <c r="I24" s="62"/>
      <c r="J24" s="62"/>
      <c r="K24" s="62"/>
      <c r="L24" s="62"/>
      <c r="M24" s="62"/>
      <c r="N24" s="80"/>
      <c r="O24" s="72"/>
      <c r="P24" s="74"/>
      <c r="Q24" s="85"/>
    </row>
    <row r="25" spans="1:17">
      <c r="A25" s="51">
        <v>7</v>
      </c>
      <c r="B25" s="59" t="s">
        <v>214</v>
      </c>
      <c r="C25" s="59"/>
      <c r="D25" s="53" t="s">
        <v>215</v>
      </c>
      <c r="E25" s="62">
        <v>12</v>
      </c>
      <c r="F25" s="62"/>
      <c r="G25" s="62"/>
      <c r="H25" s="62"/>
      <c r="I25" s="62"/>
      <c r="J25" s="62"/>
      <c r="K25" s="62"/>
      <c r="L25" s="62"/>
      <c r="M25" s="62"/>
      <c r="N25" s="79">
        <v>0</v>
      </c>
      <c r="O25" s="72">
        <f>N25*E25/1000</f>
        <v>0</v>
      </c>
      <c r="P25" s="73">
        <v>1</v>
      </c>
      <c r="Q25" s="85">
        <f t="shared" si="5"/>
        <v>0</v>
      </c>
    </row>
    <row r="26" spans="1:17">
      <c r="A26" s="60"/>
      <c r="B26" s="59"/>
      <c r="C26" s="59"/>
      <c r="D26" s="61"/>
      <c r="E26" s="62"/>
      <c r="F26" s="62"/>
      <c r="G26" s="62"/>
      <c r="H26" s="62"/>
      <c r="I26" s="62"/>
      <c r="J26" s="62"/>
      <c r="K26" s="62"/>
      <c r="L26" s="62"/>
      <c r="M26" s="62"/>
      <c r="N26" s="80"/>
      <c r="O26" s="72"/>
      <c r="P26" s="74"/>
      <c r="Q26" s="85"/>
    </row>
    <row r="27" ht="28" customHeight="1" spans="1:17">
      <c r="A27" s="63">
        <v>8</v>
      </c>
      <c r="B27" s="64" t="s">
        <v>216</v>
      </c>
      <c r="C27" s="64"/>
      <c r="D27" s="64" t="s">
        <v>217</v>
      </c>
      <c r="E27" s="65" t="s">
        <v>218</v>
      </c>
      <c r="F27" s="65"/>
      <c r="G27" s="65"/>
      <c r="H27" s="65"/>
      <c r="I27" s="65"/>
      <c r="J27" s="65"/>
      <c r="K27" s="65"/>
      <c r="L27" s="65"/>
      <c r="M27" s="65"/>
      <c r="N27" s="81">
        <v>0</v>
      </c>
      <c r="O27" s="82">
        <f>N27*300/10000</f>
        <v>0</v>
      </c>
      <c r="P27" s="73">
        <v>1</v>
      </c>
      <c r="Q27" s="85">
        <f t="shared" si="5"/>
        <v>0</v>
      </c>
    </row>
    <row r="28" ht="33" customHeight="1" spans="1:17">
      <c r="A28" s="63"/>
      <c r="B28" s="64"/>
      <c r="C28" s="64"/>
      <c r="D28" s="64" t="s">
        <v>219</v>
      </c>
      <c r="E28" s="65" t="s">
        <v>220</v>
      </c>
      <c r="F28" s="65"/>
      <c r="G28" s="65"/>
      <c r="H28" s="65"/>
      <c r="I28" s="65"/>
      <c r="J28" s="65"/>
      <c r="K28" s="65"/>
      <c r="L28" s="65"/>
      <c r="M28" s="65"/>
      <c r="N28" s="81">
        <v>0</v>
      </c>
      <c r="O28" s="82">
        <f>N28*180/10000</f>
        <v>0</v>
      </c>
      <c r="P28" s="73">
        <v>1</v>
      </c>
      <c r="Q28" s="85">
        <f t="shared" si="5"/>
        <v>0</v>
      </c>
    </row>
    <row r="29" ht="18" customHeight="1" spans="1:17">
      <c r="A29" s="11" t="s">
        <v>221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</sheetData>
  <sheetProtection password="DF6A" sheet="1" selectLockedCells="1" objects="1"/>
  <mergeCells count="136">
    <mergeCell ref="A1:M1"/>
    <mergeCell ref="N1:Q1"/>
    <mergeCell ref="E2:M2"/>
    <mergeCell ref="E3:F3"/>
    <mergeCell ref="G3:H3"/>
    <mergeCell ref="I3:J3"/>
    <mergeCell ref="K3:L3"/>
    <mergeCell ref="E4:F4"/>
    <mergeCell ref="G4:H4"/>
    <mergeCell ref="I4:J4"/>
    <mergeCell ref="K4:L4"/>
    <mergeCell ref="E19:F19"/>
    <mergeCell ref="G19:H19"/>
    <mergeCell ref="I19:J19"/>
    <mergeCell ref="K19:L19"/>
    <mergeCell ref="E20:M20"/>
    <mergeCell ref="E27:M27"/>
    <mergeCell ref="E28:M28"/>
    <mergeCell ref="A29:Q29"/>
    <mergeCell ref="A2:A4"/>
    <mergeCell ref="A5:A6"/>
    <mergeCell ref="A7:A8"/>
    <mergeCell ref="A9:A16"/>
    <mergeCell ref="A17:A20"/>
    <mergeCell ref="A21:A22"/>
    <mergeCell ref="A23:A24"/>
    <mergeCell ref="A25:A26"/>
    <mergeCell ref="A27:A28"/>
    <mergeCell ref="B13:B16"/>
    <mergeCell ref="B19:B20"/>
    <mergeCell ref="C13:C14"/>
    <mergeCell ref="C15:C16"/>
    <mergeCell ref="D2:D4"/>
    <mergeCell ref="D5:D6"/>
    <mergeCell ref="D7:D8"/>
    <mergeCell ref="D9:D10"/>
    <mergeCell ref="D11:D12"/>
    <mergeCell ref="D13:D14"/>
    <mergeCell ref="D15:D16"/>
    <mergeCell ref="D17:D18"/>
    <mergeCell ref="D21:D22"/>
    <mergeCell ref="D23:D24"/>
    <mergeCell ref="D25:D26"/>
    <mergeCell ref="M3:M4"/>
    <mergeCell ref="M5:M6"/>
    <mergeCell ref="M7:M8"/>
    <mergeCell ref="M9:M10"/>
    <mergeCell ref="M11:M12"/>
    <mergeCell ref="M13:M14"/>
    <mergeCell ref="M17:M18"/>
    <mergeCell ref="M21:M22"/>
    <mergeCell ref="N2:N4"/>
    <mergeCell ref="N5:N6"/>
    <mergeCell ref="N7:N8"/>
    <mergeCell ref="N9:N10"/>
    <mergeCell ref="N11:N12"/>
    <mergeCell ref="N13:N14"/>
    <mergeCell ref="N15:N16"/>
    <mergeCell ref="N17:N18"/>
    <mergeCell ref="N21:N22"/>
    <mergeCell ref="N23:N24"/>
    <mergeCell ref="N25:N26"/>
    <mergeCell ref="O2:O4"/>
    <mergeCell ref="O5:O6"/>
    <mergeCell ref="O7:O8"/>
    <mergeCell ref="O9:O10"/>
    <mergeCell ref="O11:O12"/>
    <mergeCell ref="O13:O14"/>
    <mergeCell ref="O15:O16"/>
    <mergeCell ref="O17:O18"/>
    <mergeCell ref="O21:O22"/>
    <mergeCell ref="O23:O24"/>
    <mergeCell ref="O25:O26"/>
    <mergeCell ref="P2:P4"/>
    <mergeCell ref="P5:P6"/>
    <mergeCell ref="P7:P8"/>
    <mergeCell ref="P9:P10"/>
    <mergeCell ref="P11:P12"/>
    <mergeCell ref="P13:P14"/>
    <mergeCell ref="P15:P16"/>
    <mergeCell ref="P17:P18"/>
    <mergeCell ref="P21:P22"/>
    <mergeCell ref="P23:P24"/>
    <mergeCell ref="P25:P26"/>
    <mergeCell ref="Q2:Q4"/>
    <mergeCell ref="Q5:Q6"/>
    <mergeCell ref="Q7:Q8"/>
    <mergeCell ref="Q9:Q10"/>
    <mergeCell ref="Q11:Q12"/>
    <mergeCell ref="Q13:Q14"/>
    <mergeCell ref="Q15:Q16"/>
    <mergeCell ref="Q17:Q18"/>
    <mergeCell ref="Q21:Q22"/>
    <mergeCell ref="Q23:Q24"/>
    <mergeCell ref="Q25:Q26"/>
    <mergeCell ref="B2:C4"/>
    <mergeCell ref="B5:C6"/>
    <mergeCell ref="E5:F6"/>
    <mergeCell ref="G5:H6"/>
    <mergeCell ref="I5:J6"/>
    <mergeCell ref="K5:L6"/>
    <mergeCell ref="B7:C8"/>
    <mergeCell ref="E7:F8"/>
    <mergeCell ref="G7:H8"/>
    <mergeCell ref="I7:J8"/>
    <mergeCell ref="K7:L8"/>
    <mergeCell ref="B9:C10"/>
    <mergeCell ref="E9:F10"/>
    <mergeCell ref="G9:H10"/>
    <mergeCell ref="I9:J10"/>
    <mergeCell ref="K9:L10"/>
    <mergeCell ref="B11:C12"/>
    <mergeCell ref="E11:F12"/>
    <mergeCell ref="G11:H12"/>
    <mergeCell ref="I11:J12"/>
    <mergeCell ref="K11:L12"/>
    <mergeCell ref="E13:F14"/>
    <mergeCell ref="G13:H14"/>
    <mergeCell ref="I13:J14"/>
    <mergeCell ref="K13:L14"/>
    <mergeCell ref="E15:M16"/>
    <mergeCell ref="B17:C18"/>
    <mergeCell ref="E17:F18"/>
    <mergeCell ref="G17:H18"/>
    <mergeCell ref="I17:J18"/>
    <mergeCell ref="K17:L18"/>
    <mergeCell ref="B21:C22"/>
    <mergeCell ref="E21:F22"/>
    <mergeCell ref="G21:H22"/>
    <mergeCell ref="I21:J22"/>
    <mergeCell ref="K21:L22"/>
    <mergeCell ref="B23:C24"/>
    <mergeCell ref="E23:M24"/>
    <mergeCell ref="B25:C26"/>
    <mergeCell ref="E25:M26"/>
    <mergeCell ref="B27:C28"/>
  </mergeCells>
  <pageMargins left="0.75" right="0.75" top="1" bottom="1" header="0.51" footer="0.51"/>
  <pageSetup paperSize="9" orientation="portrait"/>
  <headerFooter alignWithMargins="0" scaleWithDoc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  <rangeList sheetStid="14" master="" otherUserPermission="visible"/>
  <rangeList sheetStid="15" master="" otherUserPermission="visible"/>
  <rangeList sheetStid="16" master="" otherUserPermission="visible"/>
  <rangeList sheetStid="17" master="" otherUserPermission="visible"/>
  <rangeList sheetStid="18" master="" otherUserPermission="visible"/>
  <rangeList sheetStid="19" master="" otherUserPermission="visible"/>
  <rangeList sheetStid="2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清单</vt:lpstr>
      <vt:lpstr>总</vt:lpstr>
      <vt:lpstr>建设管理费</vt:lpstr>
      <vt:lpstr>项目建议书</vt:lpstr>
      <vt:lpstr>可行性研究报告</vt:lpstr>
      <vt:lpstr>设计费</vt:lpstr>
      <vt:lpstr>监理费</vt:lpstr>
      <vt:lpstr>监理费 (新标准2)</vt:lpstr>
      <vt:lpstr>造价咨询服务费</vt:lpstr>
      <vt:lpstr>招标代理服务费</vt:lpstr>
      <vt:lpstr>环境影响咨询</vt:lpstr>
      <vt:lpstr>施工图设计审查咨询</vt:lpstr>
      <vt:lpstr>Sheet2</vt:lpstr>
      <vt:lpstr>工程保险费</vt:lpstr>
      <vt:lpstr>水土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</cp:lastModifiedBy>
  <dcterms:created xsi:type="dcterms:W3CDTF">2020-06-27T02:07:00Z</dcterms:created>
  <dcterms:modified xsi:type="dcterms:W3CDTF">2025-02-14T09:00:40Z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19B184AF2A30448F8B92DA16B57F220A_13</vt:lpwstr>
  </property>
  <property fmtid="{D5CDD505-2E9C-101B-9397-08002B2CF9AE}" pid="4" name="KSOReadingLayout">
    <vt:bool>true</vt:bool>
  </property>
</Properties>
</file>